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OLD_NOOT\D\Міська рада\Вишня\СЕСІЇ\СЕСІЯ 2025\№ 79\"/>
    </mc:Choice>
  </mc:AlternateContent>
  <bookViews>
    <workbookView xWindow="0" yWindow="0" windowWidth="19416" windowHeight="7656"/>
  </bookViews>
  <sheets>
    <sheet name="Дод 1" sheetId="12" r:id="rId1"/>
    <sheet name="Зм1.1" sheetId="17" r:id="rId2"/>
    <sheet name="дод 2 " sheetId="18" r:id="rId3"/>
    <sheet name="дод 3 " sheetId="23" r:id="rId4"/>
    <sheet name="Зм3.1" sheetId="19" r:id="rId5"/>
    <sheet name="дод 4" sheetId="6" r:id="rId6"/>
    <sheet name="Дод 5" sheetId="24" r:id="rId7"/>
    <sheet name="дод 6" sheetId="11" r:id="rId8"/>
    <sheet name="дод7" sheetId="25" r:id="rId9"/>
    <sheet name="дод8 " sheetId="20" r:id="rId10"/>
    <sheet name="дод9" sheetId="21" r:id="rId11"/>
  </sheets>
  <externalReferences>
    <externalReference r:id="rId12"/>
  </externalReferences>
  <definedNames>
    <definedName name="_xlnm._FilterDatabase" localSheetId="9" hidden="1">'дод8 '!$A$7:$E$333</definedName>
    <definedName name="_xlnm.Print_Titles" localSheetId="2">'дод 2 '!$12:$12</definedName>
    <definedName name="_xlnm.Print_Titles" localSheetId="3">'дод 3 '!$7:$10</definedName>
    <definedName name="_xlnm.Print_Titles" localSheetId="8">дод7!$8:$10</definedName>
    <definedName name="_xlnm.Print_Titles" localSheetId="9">'дод8 '!$7:$7</definedName>
    <definedName name="_xlnm.Print_Titles" localSheetId="10">дод9!$9:$10</definedName>
    <definedName name="_xlnm.Print_Titles" localSheetId="4">'Зм3.1'!$9:$12</definedName>
    <definedName name="_xlnm.Print_Area" localSheetId="0">'Дод 1'!$A$1:$G$110</definedName>
    <definedName name="_xlnm.Print_Area" localSheetId="2">'дод 2 '!$A$1:$F$58</definedName>
    <definedName name="_xlnm.Print_Area" localSheetId="9">'дод8 '!$A$1:$E$366</definedName>
    <definedName name="_xlnm.Print_Area" localSheetId="10">дод9!$A$1:$H$73</definedName>
    <definedName name="_xlnm.Print_Area" localSheetId="1">'Зм1.1'!$A$1:$F$123</definedName>
    <definedName name="_xlnm.Print_Area" localSheetId="4">'Зм3.1'!$B$1:$R$216</definedName>
  </definedNames>
  <calcPr calcId="152511"/>
</workbook>
</file>

<file path=xl/calcChain.xml><?xml version="1.0" encoding="utf-8"?>
<calcChain xmlns="http://schemas.openxmlformats.org/spreadsheetml/2006/main">
  <c r="H167" i="25" l="1"/>
  <c r="H145" i="25"/>
  <c r="H143" i="25"/>
  <c r="H121" i="25"/>
  <c r="H102" i="25"/>
  <c r="H96" i="25"/>
  <c r="H43" i="25"/>
  <c r="E31" i="18"/>
  <c r="I56" i="23"/>
  <c r="G175" i="23"/>
  <c r="I160" i="23"/>
  <c r="G162" i="23"/>
  <c r="G160" i="23"/>
  <c r="G159" i="23"/>
  <c r="G139" i="23"/>
  <c r="G113" i="23"/>
  <c r="G108" i="23"/>
  <c r="G107" i="23"/>
  <c r="G103" i="23"/>
  <c r="G101" i="23"/>
  <c r="G99" i="23"/>
  <c r="G56" i="23"/>
  <c r="D98" i="12"/>
  <c r="D355" i="20" l="1"/>
  <c r="D25" i="24"/>
  <c r="H22" i="11" l="1"/>
  <c r="H21" i="11" s="1"/>
  <c r="Q56" i="23" l="1"/>
  <c r="L56" i="23"/>
  <c r="D15" i="12" l="1"/>
  <c r="H30" i="25" l="1"/>
  <c r="G46" i="23"/>
  <c r="D78" i="24" l="1"/>
  <c r="D83" i="24"/>
  <c r="D23" i="18" l="1"/>
  <c r="H22" i="25"/>
  <c r="G37" i="23"/>
  <c r="H126" i="25"/>
  <c r="G112" i="25"/>
  <c r="J110" i="25"/>
  <c r="I110" i="25"/>
  <c r="H110" i="25"/>
  <c r="I81" i="25"/>
  <c r="H66" i="25"/>
  <c r="H39" i="25"/>
  <c r="J17" i="25"/>
  <c r="I17" i="25"/>
  <c r="H17" i="25"/>
  <c r="H13" i="25"/>
  <c r="R126" i="23"/>
  <c r="Q101" i="23"/>
  <c r="L101" i="23"/>
  <c r="P90" i="23"/>
  <c r="O90" i="23"/>
  <c r="M90" i="23"/>
  <c r="J90" i="23"/>
  <c r="K126" i="23"/>
  <c r="F126" i="23"/>
  <c r="I159" i="23"/>
  <c r="H159" i="23"/>
  <c r="I149" i="23"/>
  <c r="H149" i="23"/>
  <c r="G149" i="23"/>
  <c r="I147" i="23"/>
  <c r="H147" i="23"/>
  <c r="G147" i="23"/>
  <c r="G141" i="23"/>
  <c r="Q125" i="23"/>
  <c r="Q90" i="23" s="1"/>
  <c r="N125" i="23"/>
  <c r="N90" i="23" s="1"/>
  <c r="Q124" i="23"/>
  <c r="L124" i="23"/>
  <c r="G124" i="23"/>
  <c r="G77" i="23"/>
  <c r="G55" i="23"/>
  <c r="Q19" i="23"/>
  <c r="L19" i="23"/>
  <c r="G19" i="23"/>
  <c r="G16" i="23"/>
  <c r="D51" i="12"/>
  <c r="D16" i="12"/>
  <c r="G149" i="19"/>
  <c r="Q149" i="19"/>
  <c r="P149" i="19"/>
  <c r="O149" i="19"/>
  <c r="N149" i="19"/>
  <c r="M149" i="19"/>
  <c r="L149" i="19"/>
  <c r="J149" i="19"/>
  <c r="I149" i="19"/>
  <c r="H149" i="19"/>
  <c r="K141" i="19"/>
  <c r="F141" i="19"/>
  <c r="R141" i="19" s="1"/>
  <c r="F140" i="19"/>
  <c r="K137" i="19"/>
  <c r="K138" i="19"/>
  <c r="F168" i="19"/>
  <c r="E356" i="20"/>
  <c r="L90" i="23" l="1"/>
  <c r="H127" i="25"/>
  <c r="G161" i="23"/>
  <c r="G142" i="23"/>
  <c r="D105" i="12"/>
  <c r="D66" i="24"/>
  <c r="E23" i="18" l="1"/>
  <c r="J32" i="11" l="1"/>
  <c r="I30" i="11"/>
  <c r="I29" i="11" s="1"/>
  <c r="H100" i="25"/>
  <c r="H101" i="25"/>
  <c r="H90" i="25"/>
  <c r="H91" i="25"/>
  <c r="H94" i="25"/>
  <c r="H88" i="25"/>
  <c r="H89" i="25"/>
  <c r="H84" i="25"/>
  <c r="H81" i="25"/>
  <c r="H80" i="25"/>
  <c r="H78" i="25"/>
  <c r="I151" i="25"/>
  <c r="H41" i="25"/>
  <c r="H165" i="25" l="1"/>
  <c r="H120" i="25"/>
  <c r="G95" i="25"/>
  <c r="G86" i="25"/>
  <c r="J151" i="25"/>
  <c r="J72" i="25"/>
  <c r="I72" i="25"/>
  <c r="H72" i="25"/>
  <c r="H55" i="25"/>
  <c r="G47" i="25"/>
  <c r="H31" i="25"/>
  <c r="F23" i="18"/>
  <c r="G173" i="23" l="1"/>
  <c r="I173" i="23"/>
  <c r="H170" i="23" l="1"/>
  <c r="G170" i="23"/>
  <c r="Q165" i="23"/>
  <c r="L165" i="23"/>
  <c r="G137" i="23"/>
  <c r="H49" i="23"/>
  <c r="G49" i="23"/>
  <c r="K24" i="19"/>
  <c r="D26" i="18" l="1"/>
  <c r="J127" i="25"/>
  <c r="I127" i="25"/>
  <c r="J126" i="25"/>
  <c r="I126" i="25"/>
  <c r="H122" i="25"/>
  <c r="D118" i="24"/>
  <c r="D113" i="24"/>
  <c r="Q62" i="23"/>
  <c r="L62" i="23"/>
  <c r="H37" i="25"/>
  <c r="Q142" i="23" l="1"/>
  <c r="L142" i="23"/>
  <c r="Q141" i="23"/>
  <c r="L141" i="23"/>
  <c r="G140" i="23"/>
  <c r="H113" i="23"/>
  <c r="G110" i="23"/>
  <c r="H108" i="23"/>
  <c r="H107" i="23"/>
  <c r="H103" i="23"/>
  <c r="H99" i="23"/>
  <c r="Q83" i="23"/>
  <c r="L83" i="23"/>
  <c r="G83" i="23"/>
  <c r="G66" i="23"/>
  <c r="G53" i="23"/>
  <c r="F105" i="12"/>
  <c r="E105" i="12"/>
  <c r="Q151" i="19"/>
  <c r="P151" i="19"/>
  <c r="O151" i="19"/>
  <c r="N151" i="19"/>
  <c r="M151" i="19"/>
  <c r="L151" i="19"/>
  <c r="J151" i="19"/>
  <c r="I151" i="19"/>
  <c r="H151" i="19"/>
  <c r="G151" i="19"/>
  <c r="H90" i="23" l="1"/>
  <c r="D101" i="24"/>
  <c r="D80" i="24"/>
  <c r="D77" i="24"/>
  <c r="D90" i="24"/>
  <c r="D89" i="24"/>
  <c r="H128" i="25" l="1"/>
  <c r="H123" i="25"/>
  <c r="D117" i="24" l="1"/>
  <c r="D46" i="24"/>
  <c r="D45" i="24"/>
  <c r="P150" i="19" l="1"/>
  <c r="P211" i="19" s="1"/>
  <c r="O150" i="19"/>
  <c r="O211" i="19" s="1"/>
  <c r="N150" i="19"/>
  <c r="N211" i="19" s="1"/>
  <c r="M150" i="19"/>
  <c r="M211" i="19" s="1"/>
  <c r="L150" i="19"/>
  <c r="L211" i="19" s="1"/>
  <c r="J150" i="19"/>
  <c r="J211" i="19" s="1"/>
  <c r="I150" i="19"/>
  <c r="I211" i="19" s="1"/>
  <c r="H150" i="19"/>
  <c r="H211" i="19" s="1"/>
  <c r="G150" i="19"/>
  <c r="G211" i="19" s="1"/>
  <c r="Q150" i="19"/>
  <c r="Q211" i="19" s="1"/>
  <c r="H62" i="25"/>
  <c r="H30" i="11"/>
  <c r="H29" i="11" s="1"/>
  <c r="D24" i="24" l="1"/>
  <c r="D96" i="24" l="1"/>
  <c r="D14" i="24"/>
  <c r="D16" i="24"/>
  <c r="H31" i="11"/>
  <c r="H63" i="25" l="1"/>
  <c r="H49" i="25"/>
  <c r="J52" i="25"/>
  <c r="I52" i="25"/>
  <c r="D41" i="12"/>
  <c r="D33" i="12"/>
  <c r="D32" i="12"/>
  <c r="G14" i="11"/>
  <c r="D111" i="24"/>
  <c r="G74" i="23"/>
  <c r="G72" i="23"/>
  <c r="G60" i="23"/>
  <c r="H16" i="23"/>
  <c r="D92" i="17"/>
  <c r="C92" i="17" s="1"/>
  <c r="C93" i="17"/>
  <c r="D94" i="17"/>
  <c r="E94" i="17"/>
  <c r="F94" i="17"/>
  <c r="C95" i="17"/>
  <c r="C96" i="17"/>
  <c r="C97" i="17"/>
  <c r="C98" i="17"/>
  <c r="C99" i="17"/>
  <c r="C100" i="17"/>
  <c r="C101" i="17"/>
  <c r="C102" i="17"/>
  <c r="C103" i="17"/>
  <c r="D104" i="17"/>
  <c r="E104" i="17"/>
  <c r="F104" i="17"/>
  <c r="C105" i="17"/>
  <c r="C106" i="17"/>
  <c r="D107" i="17"/>
  <c r="E107" i="17"/>
  <c r="F107" i="17"/>
  <c r="C108" i="17"/>
  <c r="C109" i="17"/>
  <c r="C110" i="17"/>
  <c r="C111" i="17"/>
  <c r="C112" i="17"/>
  <c r="C113" i="17"/>
  <c r="C114" i="17"/>
  <c r="C104" i="17" l="1"/>
  <c r="D91" i="17"/>
  <c r="D90" i="17" s="1"/>
  <c r="C94" i="17"/>
  <c r="E91" i="17"/>
  <c r="E90" i="17" s="1"/>
  <c r="F91" i="17"/>
  <c r="F90" i="17" s="1"/>
  <c r="D278" i="20" l="1"/>
  <c r="F99" i="12" l="1"/>
  <c r="I101" i="23" l="1"/>
  <c r="I90" i="23" s="1"/>
  <c r="C278" i="20"/>
  <c r="D100" i="24"/>
  <c r="D99" i="24" s="1"/>
  <c r="D98" i="24" s="1"/>
  <c r="D105" i="24" s="1"/>
  <c r="D76" i="24"/>
  <c r="G65" i="25" l="1"/>
  <c r="E360" i="20" l="1"/>
  <c r="D18" i="24" l="1"/>
  <c r="E15" i="18" l="1"/>
  <c r="D27" i="18"/>
  <c r="C106" i="12"/>
  <c r="M189" i="23"/>
  <c r="Q135" i="23"/>
  <c r="Q189" i="23" s="1"/>
  <c r="P135" i="23"/>
  <c r="P189" i="23" s="1"/>
  <c r="O135" i="23"/>
  <c r="O189" i="23" s="1"/>
  <c r="N135" i="23"/>
  <c r="N189" i="23" s="1"/>
  <c r="M135" i="23"/>
  <c r="L135" i="23"/>
  <c r="L189" i="23" s="1"/>
  <c r="J135" i="23"/>
  <c r="J189" i="23" s="1"/>
  <c r="I135" i="23"/>
  <c r="I189" i="23" s="1"/>
  <c r="H135" i="23"/>
  <c r="H189" i="23" s="1"/>
  <c r="G135" i="23"/>
  <c r="G189" i="23" s="1"/>
  <c r="F138" i="23"/>
  <c r="R138" i="23" s="1"/>
  <c r="K138" i="23"/>
  <c r="K135" i="23" s="1"/>
  <c r="K189" i="23" s="1"/>
  <c r="F161" i="23"/>
  <c r="R161" i="23" s="1"/>
  <c r="Q93" i="23"/>
  <c r="P93" i="23"/>
  <c r="O93" i="23"/>
  <c r="N93" i="23"/>
  <c r="M93" i="23"/>
  <c r="L93" i="23"/>
  <c r="J93" i="23"/>
  <c r="I93" i="23"/>
  <c r="G93" i="23"/>
  <c r="H93" i="23"/>
  <c r="Q152" i="19"/>
  <c r="P152" i="19"/>
  <c r="O152" i="19"/>
  <c r="N152" i="19"/>
  <c r="M152" i="19"/>
  <c r="L152" i="19"/>
  <c r="J152" i="19"/>
  <c r="I152" i="19"/>
  <c r="H152" i="19"/>
  <c r="G152" i="19"/>
  <c r="K154" i="19"/>
  <c r="K152" i="19" s="1"/>
  <c r="F154" i="19"/>
  <c r="K139" i="19"/>
  <c r="F90" i="12"/>
  <c r="F87" i="12" s="1"/>
  <c r="E90" i="12"/>
  <c r="D90" i="12"/>
  <c r="C93" i="12"/>
  <c r="Q134" i="23"/>
  <c r="P134" i="23"/>
  <c r="O134" i="23"/>
  <c r="N134" i="23"/>
  <c r="M134" i="23"/>
  <c r="L134" i="23"/>
  <c r="J134" i="23"/>
  <c r="I134" i="23"/>
  <c r="H134" i="23"/>
  <c r="G134" i="23"/>
  <c r="K156" i="23"/>
  <c r="F156" i="23"/>
  <c r="D30" i="24"/>
  <c r="Q132" i="23"/>
  <c r="P132" i="23"/>
  <c r="O132" i="23"/>
  <c r="N132" i="23"/>
  <c r="M132" i="23"/>
  <c r="L132" i="23"/>
  <c r="J132" i="23"/>
  <c r="I132" i="23"/>
  <c r="G132" i="23"/>
  <c r="K155" i="23"/>
  <c r="F155" i="23"/>
  <c r="R156" i="23" l="1"/>
  <c r="R135" i="23"/>
  <c r="R189" i="23" s="1"/>
  <c r="F135" i="23"/>
  <c r="F189" i="23" s="1"/>
  <c r="R154" i="19"/>
  <c r="R155" i="23"/>
  <c r="E48" i="18" l="1"/>
  <c r="D48" i="18"/>
  <c r="E24" i="18"/>
  <c r="E20" i="18"/>
  <c r="D22" i="18"/>
  <c r="D18" i="18" s="1"/>
  <c r="C18" i="18" s="1"/>
  <c r="F27" i="18"/>
  <c r="F48" i="18" s="1"/>
  <c r="F35" i="18"/>
  <c r="D35" i="18"/>
  <c r="C372" i="20" l="1"/>
  <c r="C370" i="20"/>
  <c r="C369" i="20"/>
  <c r="K120" i="23"/>
  <c r="K130" i="19"/>
  <c r="D20" i="24"/>
  <c r="J59" i="25" l="1"/>
  <c r="I59" i="25"/>
  <c r="H98" i="25"/>
  <c r="I67" i="25"/>
  <c r="D123" i="24"/>
  <c r="D124" i="24"/>
  <c r="H136" i="23"/>
  <c r="I133" i="23"/>
  <c r="H133" i="23"/>
  <c r="G133" i="23"/>
  <c r="H137" i="23"/>
  <c r="H132" i="23" s="1"/>
  <c r="G109" i="23"/>
  <c r="G90" i="23" s="1"/>
  <c r="Q69" i="23"/>
  <c r="L69" i="23"/>
  <c r="N78" i="23"/>
  <c r="D122" i="24" l="1"/>
  <c r="D279" i="20"/>
  <c r="C371" i="20" l="1"/>
  <c r="C373" i="20" s="1"/>
  <c r="C374" i="20" s="1"/>
  <c r="Q103" i="19"/>
  <c r="P103" i="19"/>
  <c r="O103" i="19"/>
  <c r="N103" i="19"/>
  <c r="M103" i="19"/>
  <c r="L103" i="19"/>
  <c r="J103" i="19"/>
  <c r="I103" i="19"/>
  <c r="H103" i="19"/>
  <c r="G103" i="19"/>
  <c r="Q100" i="19"/>
  <c r="P100" i="19"/>
  <c r="O100" i="19"/>
  <c r="N100" i="19"/>
  <c r="M100" i="19"/>
  <c r="L100" i="19"/>
  <c r="J100" i="19"/>
  <c r="I100" i="19"/>
  <c r="H100" i="19"/>
  <c r="G100" i="19"/>
  <c r="G113" i="25" l="1"/>
  <c r="G106" i="25"/>
  <c r="G105" i="25"/>
  <c r="H131" i="23" l="1"/>
  <c r="K128" i="23"/>
  <c r="K93" i="23" s="1"/>
  <c r="F128" i="23"/>
  <c r="K127" i="23"/>
  <c r="F120" i="23"/>
  <c r="K119" i="23"/>
  <c r="F119" i="23"/>
  <c r="R119" i="23" s="1"/>
  <c r="G58" i="23"/>
  <c r="I54" i="23"/>
  <c r="D22" i="24"/>
  <c r="C95" i="12"/>
  <c r="C94" i="12"/>
  <c r="Q99" i="19"/>
  <c r="P99" i="19"/>
  <c r="O99" i="19"/>
  <c r="N99" i="19"/>
  <c r="M99" i="19"/>
  <c r="L99" i="19"/>
  <c r="J99" i="19"/>
  <c r="I99" i="19"/>
  <c r="H99" i="19"/>
  <c r="G99" i="19"/>
  <c r="K129" i="19"/>
  <c r="F130" i="19"/>
  <c r="F129" i="19"/>
  <c r="F93" i="23" l="1"/>
  <c r="R128" i="23"/>
  <c r="R120" i="23"/>
  <c r="R130" i="19"/>
  <c r="R129" i="19"/>
  <c r="R93" i="23" l="1"/>
  <c r="C105" i="12"/>
  <c r="C104" i="12"/>
  <c r="C103" i="12"/>
  <c r="C102" i="12"/>
  <c r="C101" i="12"/>
  <c r="C100" i="12"/>
  <c r="C99" i="12" s="1"/>
  <c r="E99" i="12"/>
  <c r="D99" i="12"/>
  <c r="C98" i="12"/>
  <c r="C97" i="12" s="1"/>
  <c r="E97" i="12"/>
  <c r="D97" i="12"/>
  <c r="C92" i="12"/>
  <c r="C91" i="12"/>
  <c r="C90" i="12" s="1"/>
  <c r="F86" i="12"/>
  <c r="C89" i="12"/>
  <c r="D88" i="12"/>
  <c r="C88" i="12" s="1"/>
  <c r="C84" i="12"/>
  <c r="F83" i="12"/>
  <c r="F82" i="12" s="1"/>
  <c r="E83" i="12"/>
  <c r="E82" i="12" s="1"/>
  <c r="D83" i="12"/>
  <c r="D82" i="12" s="1"/>
  <c r="C81" i="12"/>
  <c r="C80" i="12" s="1"/>
  <c r="F80" i="12"/>
  <c r="F79" i="12" s="1"/>
  <c r="E80" i="12"/>
  <c r="E79" i="12" s="1"/>
  <c r="D80" i="12"/>
  <c r="D79" i="12" s="1"/>
  <c r="C77" i="12"/>
  <c r="C76" i="12"/>
  <c r="C75" i="12"/>
  <c r="E74" i="12"/>
  <c r="E73" i="12" s="1"/>
  <c r="D74" i="12"/>
  <c r="C74" i="12" s="1"/>
  <c r="C72" i="12"/>
  <c r="C71" i="12"/>
  <c r="C70" i="12"/>
  <c r="E69" i="12"/>
  <c r="D69" i="12"/>
  <c r="C69" i="12" s="1"/>
  <c r="C68" i="12"/>
  <c r="C67" i="12"/>
  <c r="C66" i="12"/>
  <c r="E65" i="12"/>
  <c r="E64" i="12" s="1"/>
  <c r="D65" i="12"/>
  <c r="C63" i="12"/>
  <c r="C62" i="12"/>
  <c r="C61" i="12"/>
  <c r="E60" i="12"/>
  <c r="E59" i="12" s="1"/>
  <c r="D60" i="12"/>
  <c r="C60" i="12" s="1"/>
  <c r="C57" i="12"/>
  <c r="C56" i="12"/>
  <c r="C55" i="12"/>
  <c r="E54" i="12"/>
  <c r="E53" i="12" s="1"/>
  <c r="D54" i="12"/>
  <c r="D53" i="12" s="1"/>
  <c r="C52" i="12"/>
  <c r="C51" i="12"/>
  <c r="C50" i="12"/>
  <c r="E49" i="12"/>
  <c r="C48" i="12"/>
  <c r="C47" i="12"/>
  <c r="D46" i="12"/>
  <c r="C46" i="12" s="1"/>
  <c r="C45" i="12"/>
  <c r="C44" i="12"/>
  <c r="C43" i="12"/>
  <c r="C42" i="12"/>
  <c r="C41" i="12"/>
  <c r="C40" i="12"/>
  <c r="C39" i="12"/>
  <c r="C38" i="12"/>
  <c r="C37" i="12"/>
  <c r="C36" i="12"/>
  <c r="E35" i="12"/>
  <c r="C33" i="12"/>
  <c r="C32" i="12"/>
  <c r="F31" i="12"/>
  <c r="E31" i="12"/>
  <c r="D31" i="12"/>
  <c r="C30" i="12"/>
  <c r="E29" i="12"/>
  <c r="D29" i="12"/>
  <c r="C28" i="12"/>
  <c r="E27" i="12"/>
  <c r="D27" i="12"/>
  <c r="C25" i="12"/>
  <c r="D24" i="12"/>
  <c r="C24" i="12" s="1"/>
  <c r="C23" i="12"/>
  <c r="D22" i="12"/>
  <c r="C22" i="12" s="1"/>
  <c r="C20" i="12"/>
  <c r="D19" i="12"/>
  <c r="C19" i="12" s="1"/>
  <c r="C18" i="12"/>
  <c r="C17" i="12"/>
  <c r="C16" i="12"/>
  <c r="C15" i="12"/>
  <c r="F14" i="12"/>
  <c r="F13" i="12" s="1"/>
  <c r="E14" i="12"/>
  <c r="E13" i="12" s="1"/>
  <c r="F12" i="12"/>
  <c r="G173" i="25"/>
  <c r="G172" i="25"/>
  <c r="G171" i="25" s="1"/>
  <c r="J171" i="25"/>
  <c r="I171" i="25"/>
  <c r="H171" i="25"/>
  <c r="G170" i="25"/>
  <c r="G169" i="25"/>
  <c r="G168" i="25"/>
  <c r="G167" i="25"/>
  <c r="G166" i="25"/>
  <c r="G165" i="25"/>
  <c r="G164" i="25"/>
  <c r="G163" i="25"/>
  <c r="G162" i="25"/>
  <c r="G161" i="25"/>
  <c r="G160" i="25"/>
  <c r="G159" i="25"/>
  <c r="G158" i="25"/>
  <c r="G157" i="25"/>
  <c r="J156" i="25"/>
  <c r="I156" i="25"/>
  <c r="H156" i="25"/>
  <c r="J155" i="25"/>
  <c r="I155" i="25"/>
  <c r="H155" i="25"/>
  <c r="G152" i="25"/>
  <c r="G151" i="25"/>
  <c r="G150" i="25"/>
  <c r="G149" i="25"/>
  <c r="G148" i="25"/>
  <c r="G147" i="25"/>
  <c r="G146" i="25"/>
  <c r="G145" i="25"/>
  <c r="G144" i="25"/>
  <c r="G143" i="25"/>
  <c r="G142" i="25"/>
  <c r="G141" i="25"/>
  <c r="G140" i="25"/>
  <c r="G139" i="25"/>
  <c r="G138" i="25"/>
  <c r="G137" i="25"/>
  <c r="G136" i="25"/>
  <c r="G135" i="25"/>
  <c r="G134" i="25"/>
  <c r="L133" i="25"/>
  <c r="G133" i="25"/>
  <c r="G132" i="25"/>
  <c r="G131" i="25"/>
  <c r="G130" i="25"/>
  <c r="G129" i="25"/>
  <c r="G128" i="25"/>
  <c r="K127" i="25"/>
  <c r="G127" i="25"/>
  <c r="K126" i="25"/>
  <c r="P126" i="25" s="1"/>
  <c r="G126" i="25"/>
  <c r="G125" i="25"/>
  <c r="G124" i="25"/>
  <c r="K123" i="25"/>
  <c r="G123" i="25"/>
  <c r="K122" i="25"/>
  <c r="K131" i="25" s="1"/>
  <c r="G122" i="25"/>
  <c r="L121" i="25"/>
  <c r="L132" i="25" s="1"/>
  <c r="K121" i="25"/>
  <c r="G121" i="25"/>
  <c r="G120" i="25"/>
  <c r="H119" i="25"/>
  <c r="G119" i="25" s="1"/>
  <c r="J118" i="25"/>
  <c r="I118" i="25"/>
  <c r="H118" i="25"/>
  <c r="G118" i="25"/>
  <c r="J117" i="25"/>
  <c r="J116" i="25" s="1"/>
  <c r="I117" i="25"/>
  <c r="I116" i="25" s="1"/>
  <c r="H117" i="25"/>
  <c r="H116" i="25" s="1"/>
  <c r="G115" i="25"/>
  <c r="G114" i="25"/>
  <c r="G111" i="25"/>
  <c r="G110" i="25"/>
  <c r="G109" i="25"/>
  <c r="G108" i="25"/>
  <c r="G107" i="25"/>
  <c r="G104" i="25"/>
  <c r="G103" i="25"/>
  <c r="G102" i="25"/>
  <c r="G101" i="25"/>
  <c r="G100" i="25"/>
  <c r="G99" i="25"/>
  <c r="G98" i="25"/>
  <c r="G97" i="25"/>
  <c r="G96" i="25"/>
  <c r="G94" i="25"/>
  <c r="G93" i="25"/>
  <c r="G92" i="25"/>
  <c r="G91" i="25"/>
  <c r="G90" i="25"/>
  <c r="G89" i="25"/>
  <c r="G88" i="25"/>
  <c r="G87" i="25"/>
  <c r="G85" i="25"/>
  <c r="G84" i="25"/>
  <c r="G83" i="25"/>
  <c r="G82" i="25"/>
  <c r="G81" i="25"/>
  <c r="G80" i="25"/>
  <c r="I79" i="25"/>
  <c r="I74" i="25" s="1"/>
  <c r="I73" i="25" s="1"/>
  <c r="G78" i="25"/>
  <c r="G77" i="25"/>
  <c r="G76" i="25"/>
  <c r="G75" i="25"/>
  <c r="J74" i="25"/>
  <c r="J73" i="25" s="1"/>
  <c r="H74" i="25"/>
  <c r="H73" i="25" s="1"/>
  <c r="G72" i="25"/>
  <c r="G71" i="25"/>
  <c r="G70" i="25"/>
  <c r="G69" i="25"/>
  <c r="H68" i="25"/>
  <c r="G68" i="25"/>
  <c r="G67" i="25"/>
  <c r="G66" i="25"/>
  <c r="G64" i="25"/>
  <c r="G63" i="25"/>
  <c r="G62" i="25"/>
  <c r="G61" i="25"/>
  <c r="G60" i="25"/>
  <c r="G59" i="25"/>
  <c r="G58" i="25"/>
  <c r="G57" i="25"/>
  <c r="G56" i="25"/>
  <c r="G55" i="25"/>
  <c r="J54" i="25"/>
  <c r="J12" i="25" s="1"/>
  <c r="J11" i="25" s="1"/>
  <c r="I54" i="25"/>
  <c r="G53" i="25"/>
  <c r="G52" i="25"/>
  <c r="G51" i="25"/>
  <c r="G50" i="25"/>
  <c r="G49" i="25"/>
  <c r="G48" i="25"/>
  <c r="G46" i="25"/>
  <c r="G45" i="25"/>
  <c r="G44" i="25"/>
  <c r="G43" i="25"/>
  <c r="G42" i="25"/>
  <c r="G41" i="25"/>
  <c r="G40" i="25"/>
  <c r="G39" i="25"/>
  <c r="G38" i="25"/>
  <c r="G37" i="25"/>
  <c r="G36" i="25"/>
  <c r="G35" i="25"/>
  <c r="G34" i="25"/>
  <c r="G33" i="25"/>
  <c r="G32" i="25"/>
  <c r="G31" i="25"/>
  <c r="G30" i="25"/>
  <c r="G29" i="25"/>
  <c r="G28" i="25"/>
  <c r="G27" i="25"/>
  <c r="G26" i="25"/>
  <c r="G25" i="25"/>
  <c r="G24" i="25"/>
  <c r="G23" i="25"/>
  <c r="G22" i="25"/>
  <c r="G21" i="25"/>
  <c r="G20" i="25"/>
  <c r="I19" i="25"/>
  <c r="G19" i="25" s="1"/>
  <c r="G18" i="25"/>
  <c r="G17" i="25"/>
  <c r="G16" i="25"/>
  <c r="G15" i="25"/>
  <c r="G14" i="25"/>
  <c r="G13" i="25"/>
  <c r="H12" i="25"/>
  <c r="H11" i="25" s="1"/>
  <c r="D93" i="24"/>
  <c r="D92" i="24" s="1"/>
  <c r="D88" i="24"/>
  <c r="D75" i="24" s="1"/>
  <c r="D71" i="24"/>
  <c r="D63" i="24"/>
  <c r="D61" i="24" s="1"/>
  <c r="D58" i="24"/>
  <c r="D57" i="24" s="1"/>
  <c r="D52" i="24"/>
  <c r="D43" i="24"/>
  <c r="D42" i="24" s="1"/>
  <c r="D35" i="24"/>
  <c r="D33" i="24" s="1"/>
  <c r="D28" i="24"/>
  <c r="D26" i="24"/>
  <c r="D12" i="24"/>
  <c r="K183" i="23"/>
  <c r="F183" i="23"/>
  <c r="K182" i="23"/>
  <c r="F182" i="23"/>
  <c r="K181" i="23"/>
  <c r="R181" i="23" s="1"/>
  <c r="K180" i="23"/>
  <c r="H180" i="23"/>
  <c r="H179" i="23" s="1"/>
  <c r="H178" i="23" s="1"/>
  <c r="G180" i="23"/>
  <c r="F180" i="23" s="1"/>
  <c r="Q179" i="23"/>
  <c r="P179" i="23"/>
  <c r="O179" i="23"/>
  <c r="O178" i="23" s="1"/>
  <c r="N179" i="23"/>
  <c r="N178" i="23" s="1"/>
  <c r="M179" i="23"/>
  <c r="M178" i="23" s="1"/>
  <c r="L179" i="23"/>
  <c r="L178" i="23" s="1"/>
  <c r="J179" i="23"/>
  <c r="J178" i="23" s="1"/>
  <c r="I179" i="23"/>
  <c r="Q178" i="23"/>
  <c r="P178" i="23"/>
  <c r="I178" i="23"/>
  <c r="K177" i="23"/>
  <c r="F177" i="23"/>
  <c r="K176" i="23"/>
  <c r="F176" i="23"/>
  <c r="K175" i="23"/>
  <c r="F175" i="23"/>
  <c r="Q174" i="23"/>
  <c r="Q168" i="23" s="1"/>
  <c r="Q167" i="23" s="1"/>
  <c r="P174" i="23"/>
  <c r="K174" i="23"/>
  <c r="F174" i="23"/>
  <c r="K173" i="23"/>
  <c r="F173" i="23"/>
  <c r="K172" i="23"/>
  <c r="F172" i="23"/>
  <c r="P171" i="23"/>
  <c r="K171" i="23"/>
  <c r="F171" i="23"/>
  <c r="K170" i="23"/>
  <c r="F170" i="23"/>
  <c r="F169" i="23"/>
  <c r="R169" i="23" s="1"/>
  <c r="O168" i="23"/>
  <c r="N168" i="23"/>
  <c r="M168" i="23"/>
  <c r="M167" i="23" s="1"/>
  <c r="L168" i="23"/>
  <c r="L167" i="23" s="1"/>
  <c r="J168" i="23"/>
  <c r="J167" i="23" s="1"/>
  <c r="I168" i="23"/>
  <c r="I167" i="23" s="1"/>
  <c r="H168" i="23"/>
  <c r="H167" i="23" s="1"/>
  <c r="G168" i="23"/>
  <c r="G167" i="23" s="1"/>
  <c r="O167" i="23"/>
  <c r="N167" i="23"/>
  <c r="K166" i="23"/>
  <c r="R166" i="23" s="1"/>
  <c r="K165" i="23"/>
  <c r="R165" i="23" s="1"/>
  <c r="K164" i="23"/>
  <c r="R164" i="23" s="1"/>
  <c r="K163" i="23"/>
  <c r="R163" i="23" s="1"/>
  <c r="K162" i="23"/>
  <c r="F162" i="23"/>
  <c r="F160" i="23"/>
  <c r="R160" i="23" s="1"/>
  <c r="R136" i="23" s="1"/>
  <c r="F159" i="23"/>
  <c r="R159" i="23" s="1"/>
  <c r="F158" i="23"/>
  <c r="R158" i="23" s="1"/>
  <c r="K157" i="23"/>
  <c r="K154" i="23"/>
  <c r="F154" i="23"/>
  <c r="K153" i="23"/>
  <c r="F153" i="23"/>
  <c r="K152" i="23"/>
  <c r="F152" i="23"/>
  <c r="K151" i="23"/>
  <c r="F151" i="23"/>
  <c r="K150" i="23"/>
  <c r="F150" i="23"/>
  <c r="K149" i="23"/>
  <c r="F149" i="23"/>
  <c r="K148" i="23"/>
  <c r="R148" i="23" s="1"/>
  <c r="K147" i="23"/>
  <c r="I131" i="23"/>
  <c r="F147" i="23"/>
  <c r="K146" i="23"/>
  <c r="F146" i="23"/>
  <c r="R146" i="23" s="1"/>
  <c r="K145" i="23"/>
  <c r="F145" i="23"/>
  <c r="K144" i="23"/>
  <c r="F144" i="23"/>
  <c r="K143" i="23"/>
  <c r="F143" i="23"/>
  <c r="K142" i="23"/>
  <c r="F142" i="23"/>
  <c r="K141" i="23"/>
  <c r="F141" i="23"/>
  <c r="K140" i="23"/>
  <c r="F140" i="23"/>
  <c r="K139" i="23"/>
  <c r="F139" i="23"/>
  <c r="K137" i="23"/>
  <c r="F137" i="23"/>
  <c r="Q136" i="23"/>
  <c r="P136" i="23"/>
  <c r="O136" i="23"/>
  <c r="O187" i="23" s="1"/>
  <c r="N136" i="23"/>
  <c r="N187" i="23" s="1"/>
  <c r="M136" i="23"/>
  <c r="M187" i="23" s="1"/>
  <c r="L136" i="23"/>
  <c r="L187" i="23" s="1"/>
  <c r="K136" i="23"/>
  <c r="J136" i="23"/>
  <c r="I136" i="23"/>
  <c r="G136" i="23"/>
  <c r="Q133" i="23"/>
  <c r="P133" i="23"/>
  <c r="O133" i="23"/>
  <c r="N133" i="23"/>
  <c r="N185" i="23" s="1"/>
  <c r="M133" i="23"/>
  <c r="L133" i="23"/>
  <c r="J133" i="23"/>
  <c r="F133" i="23"/>
  <c r="Q131" i="23"/>
  <c r="P131" i="23"/>
  <c r="O131" i="23"/>
  <c r="N131" i="23"/>
  <c r="M131" i="23"/>
  <c r="L131" i="23"/>
  <c r="J131" i="23"/>
  <c r="G131" i="23"/>
  <c r="K130" i="23"/>
  <c r="F130" i="23"/>
  <c r="K129" i="23"/>
  <c r="F129" i="23"/>
  <c r="R129" i="23" s="1"/>
  <c r="F127" i="23"/>
  <c r="R127" i="23" s="1"/>
  <c r="K125" i="23"/>
  <c r="F125" i="23"/>
  <c r="K124" i="23"/>
  <c r="F124" i="23"/>
  <c r="K123" i="23"/>
  <c r="F123" i="23"/>
  <c r="R123" i="23" s="1"/>
  <c r="F122" i="23"/>
  <c r="R122" i="23" s="1"/>
  <c r="K121" i="23"/>
  <c r="F121" i="23"/>
  <c r="K118" i="23"/>
  <c r="K94" i="23" s="1"/>
  <c r="F118" i="23"/>
  <c r="K117" i="23"/>
  <c r="F117" i="23"/>
  <c r="K115" i="23"/>
  <c r="R115" i="23" s="1"/>
  <c r="K114" i="23"/>
  <c r="R114" i="23" s="1"/>
  <c r="K113" i="23"/>
  <c r="F113" i="23"/>
  <c r="K112" i="23"/>
  <c r="F112" i="23"/>
  <c r="K111" i="23"/>
  <c r="F111" i="23"/>
  <c r="K110" i="23"/>
  <c r="F110" i="23"/>
  <c r="K109" i="23"/>
  <c r="F109" i="23"/>
  <c r="K108" i="23"/>
  <c r="F108" i="23"/>
  <c r="K107" i="23"/>
  <c r="F107" i="23"/>
  <c r="K106" i="23"/>
  <c r="F106" i="23"/>
  <c r="K105" i="23"/>
  <c r="F105" i="23"/>
  <c r="K104" i="23"/>
  <c r="F104" i="23"/>
  <c r="K103" i="23"/>
  <c r="F103" i="23"/>
  <c r="K102" i="23"/>
  <c r="K97" i="23" s="1"/>
  <c r="K187" i="23" s="1"/>
  <c r="G102" i="23"/>
  <c r="F102" i="23" s="1"/>
  <c r="K101" i="23"/>
  <c r="F101" i="23"/>
  <c r="K100" i="23"/>
  <c r="R100" i="23" s="1"/>
  <c r="F100" i="23"/>
  <c r="K99" i="23"/>
  <c r="F99" i="23"/>
  <c r="K98" i="23"/>
  <c r="F98" i="23"/>
  <c r="Q97" i="23"/>
  <c r="P97" i="23"/>
  <c r="O97" i="23"/>
  <c r="N97" i="23"/>
  <c r="M97" i="23"/>
  <c r="L97" i="23"/>
  <c r="J97" i="23"/>
  <c r="I97" i="23"/>
  <c r="H97" i="23"/>
  <c r="H187" i="23" s="1"/>
  <c r="Q96" i="23"/>
  <c r="P96" i="23"/>
  <c r="O96" i="23"/>
  <c r="N96" i="23"/>
  <c r="N188" i="23" s="1"/>
  <c r="M96" i="23"/>
  <c r="L96" i="23"/>
  <c r="J96" i="23"/>
  <c r="I96" i="23"/>
  <c r="H96" i="23"/>
  <c r="G96" i="23"/>
  <c r="Q95" i="23"/>
  <c r="P95" i="23"/>
  <c r="O95" i="23"/>
  <c r="N95" i="23"/>
  <c r="M95" i="23"/>
  <c r="L95" i="23"/>
  <c r="K95" i="23"/>
  <c r="J95" i="23"/>
  <c r="I95" i="23"/>
  <c r="H95" i="23"/>
  <c r="G95" i="23"/>
  <c r="F95" i="23" s="1"/>
  <c r="Q94" i="23"/>
  <c r="P94" i="23"/>
  <c r="O94" i="23"/>
  <c r="N94" i="23"/>
  <c r="M94" i="23"/>
  <c r="L94" i="23"/>
  <c r="L188" i="23" s="1"/>
  <c r="J94" i="23"/>
  <c r="J188" i="23" s="1"/>
  <c r="I94" i="23"/>
  <c r="I188" i="23" s="1"/>
  <c r="H94" i="23"/>
  <c r="H188" i="23" s="1"/>
  <c r="G94" i="23"/>
  <c r="P92" i="23"/>
  <c r="O92" i="23"/>
  <c r="N92" i="23"/>
  <c r="K92" i="23" s="1"/>
  <c r="M92" i="23"/>
  <c r="I92" i="23"/>
  <c r="H92" i="23"/>
  <c r="G92" i="23"/>
  <c r="F92" i="23" s="1"/>
  <c r="Q91" i="23"/>
  <c r="P91" i="23"/>
  <c r="O91" i="23"/>
  <c r="N91" i="23"/>
  <c r="M91" i="23"/>
  <c r="L91" i="23"/>
  <c r="J91" i="23"/>
  <c r="I91" i="23"/>
  <c r="H91" i="23"/>
  <c r="G91" i="23"/>
  <c r="Q89" i="23"/>
  <c r="P89" i="23"/>
  <c r="O89" i="23"/>
  <c r="N89" i="23"/>
  <c r="L89" i="23"/>
  <c r="I89" i="23"/>
  <c r="G89" i="23"/>
  <c r="M89" i="23"/>
  <c r="J89" i="23"/>
  <c r="Q87" i="23"/>
  <c r="O87" i="23"/>
  <c r="N87" i="23"/>
  <c r="M87" i="23"/>
  <c r="L87" i="23"/>
  <c r="J87" i="23"/>
  <c r="P86" i="23"/>
  <c r="K86" i="23"/>
  <c r="F86" i="23"/>
  <c r="P85" i="23"/>
  <c r="K85" i="23"/>
  <c r="F85" i="23"/>
  <c r="P84" i="23"/>
  <c r="K84" i="23"/>
  <c r="F84" i="23"/>
  <c r="K83" i="23"/>
  <c r="F83" i="23"/>
  <c r="K82" i="23"/>
  <c r="K14" i="23" s="1"/>
  <c r="F82" i="23"/>
  <c r="K81" i="23"/>
  <c r="F81" i="23"/>
  <c r="K80" i="23"/>
  <c r="R80" i="23" s="1"/>
  <c r="K79" i="23"/>
  <c r="G79" i="23"/>
  <c r="F79" i="23"/>
  <c r="K78" i="23"/>
  <c r="F78" i="23"/>
  <c r="K77" i="23"/>
  <c r="F77" i="23"/>
  <c r="K76" i="23"/>
  <c r="F76" i="23"/>
  <c r="K75" i="23"/>
  <c r="F75" i="23"/>
  <c r="K74" i="23"/>
  <c r="F74" i="23"/>
  <c r="F73" i="23"/>
  <c r="R73" i="23" s="1"/>
  <c r="K72" i="23"/>
  <c r="F72" i="23"/>
  <c r="K71" i="23"/>
  <c r="F71" i="23"/>
  <c r="K70" i="23"/>
  <c r="F70" i="23"/>
  <c r="K69" i="23"/>
  <c r="F69" i="23"/>
  <c r="K68" i="23"/>
  <c r="F68" i="23"/>
  <c r="F67" i="23"/>
  <c r="R67" i="23" s="1"/>
  <c r="K66" i="23"/>
  <c r="F66" i="23"/>
  <c r="K65" i="23"/>
  <c r="F65" i="23"/>
  <c r="K64" i="23"/>
  <c r="F64" i="23"/>
  <c r="K63" i="23"/>
  <c r="F63" i="23"/>
  <c r="K62" i="23"/>
  <c r="F62" i="23"/>
  <c r="K61" i="23"/>
  <c r="R61" i="23" s="1"/>
  <c r="F60" i="23"/>
  <c r="R60" i="23" s="1"/>
  <c r="K59" i="23"/>
  <c r="F59" i="23"/>
  <c r="K58" i="23"/>
  <c r="F58" i="23"/>
  <c r="K57" i="23"/>
  <c r="R57" i="23" s="1"/>
  <c r="K56" i="23"/>
  <c r="F56" i="23"/>
  <c r="K55" i="23"/>
  <c r="F55" i="23"/>
  <c r="K54" i="23"/>
  <c r="F54" i="23"/>
  <c r="K53" i="23"/>
  <c r="F53" i="23"/>
  <c r="K52" i="23"/>
  <c r="F52" i="23"/>
  <c r="K51" i="23"/>
  <c r="R51" i="23" s="1"/>
  <c r="K50" i="23"/>
  <c r="K15" i="23" s="1"/>
  <c r="F50" i="23"/>
  <c r="K49" i="23"/>
  <c r="I49" i="23"/>
  <c r="F49" i="23"/>
  <c r="K48" i="23"/>
  <c r="R48" i="23" s="1"/>
  <c r="K47" i="23"/>
  <c r="R47" i="23" s="1"/>
  <c r="K46" i="23"/>
  <c r="F46" i="23"/>
  <c r="K45" i="23"/>
  <c r="F45" i="23"/>
  <c r="K44" i="23"/>
  <c r="F44" i="23"/>
  <c r="K43" i="23"/>
  <c r="F43" i="23"/>
  <c r="K42" i="23"/>
  <c r="F42" i="23"/>
  <c r="F41" i="23"/>
  <c r="R41" i="23" s="1"/>
  <c r="K40" i="23"/>
  <c r="F40" i="23"/>
  <c r="K39" i="23"/>
  <c r="F39" i="23"/>
  <c r="K38" i="23"/>
  <c r="F38" i="23"/>
  <c r="F37" i="23"/>
  <c r="R37" i="23" s="1"/>
  <c r="K36" i="23"/>
  <c r="F36" i="23"/>
  <c r="K35" i="23"/>
  <c r="F35" i="23"/>
  <c r="K34" i="23"/>
  <c r="F34" i="23"/>
  <c r="K33" i="23"/>
  <c r="F33" i="23"/>
  <c r="F32" i="23"/>
  <c r="R32" i="23" s="1"/>
  <c r="F31" i="23"/>
  <c r="R31" i="23" s="1"/>
  <c r="F30" i="23"/>
  <c r="R30" i="23" s="1"/>
  <c r="K29" i="23"/>
  <c r="F29" i="23"/>
  <c r="R28" i="23"/>
  <c r="K27" i="23"/>
  <c r="F27" i="23"/>
  <c r="F26" i="23"/>
  <c r="R26" i="23" s="1"/>
  <c r="R25" i="23"/>
  <c r="F24" i="23"/>
  <c r="R24" i="23" s="1"/>
  <c r="R23" i="23"/>
  <c r="R22" i="23"/>
  <c r="R21" i="23"/>
  <c r="R20" i="23"/>
  <c r="K19" i="23"/>
  <c r="F19" i="23"/>
  <c r="K18" i="23"/>
  <c r="I18" i="23"/>
  <c r="F18" i="23"/>
  <c r="R18" i="23" s="1"/>
  <c r="F17" i="23"/>
  <c r="R17" i="23" s="1"/>
  <c r="K16" i="23"/>
  <c r="I16" i="23"/>
  <c r="I87" i="23" s="1"/>
  <c r="H87" i="23"/>
  <c r="F16" i="23"/>
  <c r="Q15" i="23"/>
  <c r="Q186" i="23" s="1"/>
  <c r="P15" i="23"/>
  <c r="P186" i="23" s="1"/>
  <c r="O15" i="23"/>
  <c r="O186" i="23" s="1"/>
  <c r="N15" i="23"/>
  <c r="N186" i="23" s="1"/>
  <c r="M15" i="23"/>
  <c r="M186" i="23" s="1"/>
  <c r="L15" i="23"/>
  <c r="L186" i="23" s="1"/>
  <c r="J15" i="23"/>
  <c r="J186" i="23" s="1"/>
  <c r="I15" i="23"/>
  <c r="H15" i="23"/>
  <c r="G15" i="23"/>
  <c r="G186" i="23" s="1"/>
  <c r="F15" i="23"/>
  <c r="Q14" i="23"/>
  <c r="P14" i="23"/>
  <c r="O14" i="23"/>
  <c r="N14" i="23"/>
  <c r="M14" i="23"/>
  <c r="L14" i="23"/>
  <c r="J14" i="23"/>
  <c r="G14" i="23"/>
  <c r="K13" i="23"/>
  <c r="F13" i="23"/>
  <c r="R13" i="23" s="1"/>
  <c r="Q12" i="23"/>
  <c r="P12" i="23"/>
  <c r="P11" i="23" s="1"/>
  <c r="O12" i="23"/>
  <c r="O11" i="23" s="1"/>
  <c r="N12" i="23"/>
  <c r="M12" i="23"/>
  <c r="L12" i="23"/>
  <c r="L88" i="23" s="1"/>
  <c r="J12" i="23"/>
  <c r="J88" i="23" s="1"/>
  <c r="H12" i="23"/>
  <c r="H11" i="23" s="1"/>
  <c r="F90" i="23" l="1"/>
  <c r="P168" i="23"/>
  <c r="P167" i="23" s="1"/>
  <c r="Q188" i="23"/>
  <c r="P187" i="23"/>
  <c r="R172" i="23"/>
  <c r="R175" i="23"/>
  <c r="O185" i="23"/>
  <c r="P185" i="23"/>
  <c r="M188" i="23"/>
  <c r="H186" i="23"/>
  <c r="G185" i="23"/>
  <c r="O188" i="23"/>
  <c r="G97" i="23"/>
  <c r="F97" i="23" s="1"/>
  <c r="J185" i="23"/>
  <c r="I187" i="23"/>
  <c r="Q187" i="23"/>
  <c r="I12" i="23"/>
  <c r="I186" i="23"/>
  <c r="H185" i="23"/>
  <c r="G188" i="23"/>
  <c r="P188" i="23"/>
  <c r="L185" i="23"/>
  <c r="J187" i="23"/>
  <c r="R173" i="23"/>
  <c r="Q185" i="23"/>
  <c r="I185" i="23"/>
  <c r="K90" i="23"/>
  <c r="M185" i="23"/>
  <c r="M88" i="23"/>
  <c r="N88" i="23"/>
  <c r="R142" i="23"/>
  <c r="M124" i="25"/>
  <c r="K124" i="25"/>
  <c r="M121" i="25"/>
  <c r="M131" i="25"/>
  <c r="G156" i="25"/>
  <c r="M122" i="25"/>
  <c r="I12" i="25"/>
  <c r="I11" i="25" s="1"/>
  <c r="I184" i="25" s="1"/>
  <c r="P122" i="25"/>
  <c r="K132" i="25"/>
  <c r="M132" i="25" s="1"/>
  <c r="R62" i="23"/>
  <c r="R63" i="23"/>
  <c r="R65" i="23"/>
  <c r="R64" i="23"/>
  <c r="R75" i="23"/>
  <c r="F136" i="23"/>
  <c r="F187" i="23" s="1"/>
  <c r="R144" i="23"/>
  <c r="R44" i="23"/>
  <c r="R68" i="23"/>
  <c r="R54" i="23"/>
  <c r="R105" i="23"/>
  <c r="K168" i="23"/>
  <c r="K167" i="23" s="1"/>
  <c r="R36" i="23"/>
  <c r="R174" i="23"/>
  <c r="R177" i="23"/>
  <c r="R183" i="23"/>
  <c r="R42" i="23"/>
  <c r="R143" i="23"/>
  <c r="R147" i="23"/>
  <c r="R170" i="23"/>
  <c r="R176" i="23"/>
  <c r="K134" i="23"/>
  <c r="K186" i="23" s="1"/>
  <c r="K179" i="23"/>
  <c r="K178" i="23" s="1"/>
  <c r="R171" i="23"/>
  <c r="R53" i="23"/>
  <c r="R70" i="23"/>
  <c r="R103" i="23"/>
  <c r="R107" i="23"/>
  <c r="R111" i="23"/>
  <c r="F132" i="23"/>
  <c r="F131" i="23" s="1"/>
  <c r="R149" i="23"/>
  <c r="R182" i="23"/>
  <c r="C83" i="12"/>
  <c r="R108" i="23"/>
  <c r="R112" i="23"/>
  <c r="R140" i="23"/>
  <c r="R39" i="23"/>
  <c r="R151" i="23"/>
  <c r="R152" i="23"/>
  <c r="R153" i="23"/>
  <c r="R157" i="23"/>
  <c r="K132" i="23"/>
  <c r="K131" i="23" s="1"/>
  <c r="R141" i="23"/>
  <c r="R145" i="23"/>
  <c r="R33" i="23"/>
  <c r="R50" i="23"/>
  <c r="R15" i="23" s="1"/>
  <c r="K12" i="23"/>
  <c r="K11" i="23" s="1"/>
  <c r="F96" i="23"/>
  <c r="R77" i="23"/>
  <c r="R66" i="23"/>
  <c r="R85" i="23"/>
  <c r="R40" i="23"/>
  <c r="R98" i="23"/>
  <c r="R102" i="23"/>
  <c r="R97" i="23" s="1"/>
  <c r="R187" i="23" s="1"/>
  <c r="R106" i="23"/>
  <c r="R110" i="23"/>
  <c r="R150" i="23"/>
  <c r="R154" i="23"/>
  <c r="G117" i="25"/>
  <c r="G116" i="25" s="1"/>
  <c r="K89" i="23"/>
  <c r="F89" i="23"/>
  <c r="R137" i="23"/>
  <c r="Q88" i="23"/>
  <c r="L11" i="23"/>
  <c r="L184" i="23" s="1"/>
  <c r="L191" i="23" s="1"/>
  <c r="N11" i="23"/>
  <c r="N184" i="23" s="1"/>
  <c r="N191" i="23" s="1"/>
  <c r="D35" i="12"/>
  <c r="C35" i="12" s="1"/>
  <c r="E34" i="12"/>
  <c r="D26" i="12"/>
  <c r="C65" i="12"/>
  <c r="C27" i="12"/>
  <c r="D73" i="12"/>
  <c r="E26" i="12"/>
  <c r="D59" i="12"/>
  <c r="C59" i="12" s="1"/>
  <c r="C31" i="12"/>
  <c r="F134" i="23"/>
  <c r="F186" i="23" s="1"/>
  <c r="R162" i="23"/>
  <c r="R49" i="23"/>
  <c r="R56" i="23"/>
  <c r="R45" i="23"/>
  <c r="R69" i="23"/>
  <c r="R34" i="23"/>
  <c r="R78" i="23"/>
  <c r="R104" i="23"/>
  <c r="R43" i="23"/>
  <c r="R83" i="23"/>
  <c r="R86" i="23"/>
  <c r="R19" i="23"/>
  <c r="R55" i="23"/>
  <c r="R71" i="23"/>
  <c r="R109" i="23"/>
  <c r="R124" i="23"/>
  <c r="S90" i="23"/>
  <c r="R81" i="23"/>
  <c r="R99" i="23"/>
  <c r="R29" i="23"/>
  <c r="R74" i="23"/>
  <c r="R59" i="23"/>
  <c r="R82" i="23"/>
  <c r="R117" i="23"/>
  <c r="R52" i="23"/>
  <c r="R79" i="23"/>
  <c r="R130" i="23"/>
  <c r="F87" i="23"/>
  <c r="R38" i="23"/>
  <c r="R72" i="23"/>
  <c r="R76" i="23"/>
  <c r="R118" i="23"/>
  <c r="R94" i="23" s="1"/>
  <c r="R27" i="23"/>
  <c r="R35" i="23"/>
  <c r="R46" i="23"/>
  <c r="K87" i="23"/>
  <c r="O184" i="23"/>
  <c r="O191" i="23" s="1"/>
  <c r="R95" i="23"/>
  <c r="R113" i="23"/>
  <c r="R121" i="23"/>
  <c r="F94" i="23"/>
  <c r="K96" i="23"/>
  <c r="K188" i="23" s="1"/>
  <c r="R84" i="23"/>
  <c r="M11" i="23"/>
  <c r="M184" i="23" s="1"/>
  <c r="M191" i="23" s="1"/>
  <c r="J11" i="23"/>
  <c r="J184" i="23" s="1"/>
  <c r="J191" i="23" s="1"/>
  <c r="F14" i="23"/>
  <c r="R14" i="23" s="1"/>
  <c r="P87" i="23"/>
  <c r="P88" i="23" s="1"/>
  <c r="R58" i="23"/>
  <c r="E78" i="12"/>
  <c r="D64" i="12"/>
  <c r="C64" i="12" s="1"/>
  <c r="E87" i="12"/>
  <c r="E86" i="12" s="1"/>
  <c r="D14" i="12"/>
  <c r="D13" i="12" s="1"/>
  <c r="C13" i="12" s="1"/>
  <c r="E58" i="12"/>
  <c r="F78" i="12"/>
  <c r="F85" i="12" s="1"/>
  <c r="F108" i="12" s="1"/>
  <c r="D87" i="12"/>
  <c r="D86" i="12" s="1"/>
  <c r="C73" i="12"/>
  <c r="C29" i="12"/>
  <c r="C14" i="12"/>
  <c r="C82" i="12"/>
  <c r="C87" i="12"/>
  <c r="C86" i="12" s="1"/>
  <c r="C53" i="12"/>
  <c r="E12" i="12"/>
  <c r="C79" i="12"/>
  <c r="D78" i="12"/>
  <c r="D49" i="12"/>
  <c r="C54" i="12"/>
  <c r="D21" i="12"/>
  <c r="C21" i="12" s="1"/>
  <c r="H184" i="25"/>
  <c r="J184" i="25"/>
  <c r="G155" i="25"/>
  <c r="K133" i="25"/>
  <c r="M133" i="25" s="1"/>
  <c r="G54" i="25"/>
  <c r="G12" i="25" s="1"/>
  <c r="G11" i="25" s="1"/>
  <c r="G79" i="25"/>
  <c r="G74" i="25" s="1"/>
  <c r="G73" i="25" s="1"/>
  <c r="M123" i="25"/>
  <c r="D32" i="24"/>
  <c r="D104" i="24" s="1"/>
  <c r="F12" i="23"/>
  <c r="R16" i="23"/>
  <c r="R92" i="23"/>
  <c r="R101" i="23"/>
  <c r="R180" i="23"/>
  <c r="F179" i="23"/>
  <c r="F178" i="23" s="1"/>
  <c r="R178" i="23" s="1"/>
  <c r="P184" i="23"/>
  <c r="P191" i="23" s="1"/>
  <c r="G87" i="23"/>
  <c r="I11" i="23"/>
  <c r="I184" i="23" s="1"/>
  <c r="I191" i="23" s="1"/>
  <c r="Q11" i="23"/>
  <c r="Q184" i="23" s="1"/>
  <c r="Q191" i="23" s="1"/>
  <c r="K91" i="23"/>
  <c r="R125" i="23"/>
  <c r="R96" i="23" s="1"/>
  <c r="K133" i="23"/>
  <c r="K185" i="23" s="1"/>
  <c r="R139" i="23"/>
  <c r="F168" i="23"/>
  <c r="F167" i="23" s="1"/>
  <c r="G179" i="23"/>
  <c r="G178" i="23" s="1"/>
  <c r="H89" i="23"/>
  <c r="H184" i="23" s="1"/>
  <c r="H191" i="23" s="1"/>
  <c r="G12" i="23"/>
  <c r="F91" i="23"/>
  <c r="F185" i="23" s="1"/>
  <c r="O88" i="23"/>
  <c r="R168" i="23" l="1"/>
  <c r="R167" i="23" s="1"/>
  <c r="G187" i="23"/>
  <c r="C78" i="12"/>
  <c r="R90" i="23"/>
  <c r="S91" i="23" s="1"/>
  <c r="F188" i="23"/>
  <c r="R188" i="23"/>
  <c r="R179" i="23"/>
  <c r="K88" i="23"/>
  <c r="R132" i="23"/>
  <c r="R131" i="23" s="1"/>
  <c r="R133" i="23"/>
  <c r="D103" i="24"/>
  <c r="D106" i="24" s="1"/>
  <c r="K184" i="23"/>
  <c r="K191" i="23" s="1"/>
  <c r="D58" i="12"/>
  <c r="C26" i="12"/>
  <c r="C58" i="12"/>
  <c r="E85" i="12"/>
  <c r="E108" i="12" s="1"/>
  <c r="R134" i="23"/>
  <c r="R87" i="23"/>
  <c r="R12" i="23"/>
  <c r="R11" i="23" s="1"/>
  <c r="C49" i="12"/>
  <c r="D34" i="12"/>
  <c r="G184" i="25"/>
  <c r="G11" i="23"/>
  <c r="G184" i="23" s="1"/>
  <c r="G191" i="23" s="1"/>
  <c r="G88" i="23"/>
  <c r="R91" i="23"/>
  <c r="F11" i="23"/>
  <c r="F88" i="23"/>
  <c r="G13" i="11"/>
  <c r="F184" i="23" l="1"/>
  <c r="F191" i="23" s="1"/>
  <c r="R185" i="23"/>
  <c r="R88" i="23"/>
  <c r="R186" i="23"/>
  <c r="R192" i="23"/>
  <c r="R89" i="23"/>
  <c r="R184" i="23" s="1"/>
  <c r="R191" i="23" s="1"/>
  <c r="C34" i="12"/>
  <c r="D12" i="12"/>
  <c r="S184" i="23" l="1"/>
  <c r="D85" i="12"/>
  <c r="D108" i="12" s="1"/>
  <c r="C12" i="12"/>
  <c r="C85" i="12" s="1"/>
  <c r="C108" i="12" s="1"/>
  <c r="F141" i="12" l="1"/>
  <c r="E141" i="12"/>
  <c r="D141" i="12"/>
  <c r="K170" i="19" l="1"/>
  <c r="K169" i="19"/>
  <c r="F170" i="19" l="1"/>
  <c r="R170" i="19" s="1"/>
  <c r="F169" i="19"/>
  <c r="R169" i="19" l="1"/>
  <c r="I14" i="11" l="1"/>
  <c r="C141" i="12" l="1"/>
  <c r="H16" i="11" l="1"/>
  <c r="H14" i="11" s="1"/>
  <c r="J16" i="11" l="1"/>
  <c r="F139" i="12"/>
  <c r="E139" i="12"/>
  <c r="D139" i="12"/>
  <c r="C139" i="12"/>
  <c r="F137" i="12"/>
  <c r="E137" i="12"/>
  <c r="D137" i="12"/>
  <c r="C137" i="12"/>
  <c r="F177" i="19" l="1"/>
  <c r="R177" i="19" s="1"/>
  <c r="K176" i="19"/>
  <c r="F176" i="19"/>
  <c r="F167" i="19"/>
  <c r="R167" i="19" s="1"/>
  <c r="R176" i="19" l="1"/>
  <c r="K118" i="19" l="1"/>
  <c r="K117" i="19"/>
  <c r="K116" i="19"/>
  <c r="K115" i="19"/>
  <c r="K114" i="19"/>
  <c r="K113" i="19"/>
  <c r="K112" i="19"/>
  <c r="K111" i="19"/>
  <c r="K110" i="19"/>
  <c r="K109" i="19"/>
  <c r="F135" i="12" l="1"/>
  <c r="E135" i="12"/>
  <c r="D135" i="12"/>
  <c r="C135" i="12"/>
  <c r="F133" i="12"/>
  <c r="E133" i="12"/>
  <c r="D133" i="12"/>
  <c r="C133" i="12"/>
  <c r="F131" i="12"/>
  <c r="E131" i="12"/>
  <c r="D131" i="12"/>
  <c r="C131" i="12"/>
  <c r="F129" i="12"/>
  <c r="E129" i="12"/>
  <c r="D129" i="12"/>
  <c r="C129" i="12"/>
  <c r="F127" i="12" l="1"/>
  <c r="E127" i="12"/>
  <c r="D127" i="12"/>
  <c r="C127" i="12"/>
  <c r="F125" i="12" l="1"/>
  <c r="E125" i="12"/>
  <c r="D125" i="12"/>
  <c r="C125" i="12"/>
  <c r="F123" i="12" l="1"/>
  <c r="E123" i="12"/>
  <c r="D123" i="12"/>
  <c r="C123" i="12"/>
  <c r="F121" i="12" l="1"/>
  <c r="E121" i="12"/>
  <c r="D121" i="12"/>
  <c r="C121" i="12"/>
  <c r="F119" i="12" l="1"/>
  <c r="E119" i="12"/>
  <c r="D119" i="12"/>
  <c r="C119" i="12"/>
  <c r="F117" i="12"/>
  <c r="E117" i="12"/>
  <c r="D117" i="12"/>
  <c r="C117" i="12"/>
  <c r="F115" i="12"/>
  <c r="E115" i="12"/>
  <c r="D115" i="12"/>
  <c r="C115" i="12"/>
  <c r="F113" i="12"/>
  <c r="E113" i="12"/>
  <c r="D113" i="12"/>
  <c r="C113" i="12"/>
  <c r="E142" i="12" l="1"/>
  <c r="F142" i="12"/>
  <c r="C142" i="12"/>
  <c r="D142" i="12"/>
  <c r="P205" i="19" l="1"/>
  <c r="P204" i="19" s="1"/>
  <c r="O205" i="19"/>
  <c r="O204" i="19" s="1"/>
  <c r="N205" i="19"/>
  <c r="N204" i="19" s="1"/>
  <c r="M205" i="19"/>
  <c r="M204" i="19" s="1"/>
  <c r="J205" i="19"/>
  <c r="J204" i="19" s="1"/>
  <c r="I205" i="19"/>
  <c r="I204" i="19" s="1"/>
  <c r="H205" i="19"/>
  <c r="H204" i="19" s="1"/>
  <c r="G205" i="19"/>
  <c r="G204" i="19" s="1"/>
  <c r="F139" i="19" l="1"/>
  <c r="R139" i="19" s="1"/>
  <c r="K60" i="19" l="1"/>
  <c r="R60" i="19" s="1"/>
  <c r="F138" i="19" l="1"/>
  <c r="F103" i="19" s="1"/>
  <c r="F137" i="19"/>
  <c r="F159" i="19" l="1"/>
  <c r="I19" i="11" l="1"/>
  <c r="H19" i="11"/>
  <c r="F111" i="19"/>
  <c r="R111" i="19" s="1"/>
  <c r="J179" i="19" l="1"/>
  <c r="F179" i="19"/>
  <c r="K178" i="19"/>
  <c r="E358" i="20"/>
  <c r="K179" i="19" l="1"/>
  <c r="R178" i="19"/>
  <c r="R179" i="19" l="1"/>
  <c r="H18" i="11" l="1"/>
  <c r="H13" i="11" s="1"/>
  <c r="H12" i="11" s="1"/>
  <c r="K190" i="19" l="1"/>
  <c r="K150" i="19" s="1"/>
  <c r="K211" i="19" s="1"/>
  <c r="I27" i="11" l="1"/>
  <c r="K189" i="19" l="1"/>
  <c r="G30" i="11" l="1"/>
  <c r="I26" i="11"/>
  <c r="G12" i="11"/>
  <c r="I18" i="11"/>
  <c r="I13" i="11" s="1"/>
  <c r="I12" i="11" s="1"/>
  <c r="R137" i="19"/>
  <c r="G29" i="11" l="1"/>
  <c r="J30" i="11"/>
  <c r="G26" i="11"/>
  <c r="G25" i="11" s="1"/>
  <c r="G35" i="11" s="1"/>
  <c r="H26" i="11"/>
  <c r="H25" i="11" s="1"/>
  <c r="H35" i="11" s="1"/>
  <c r="I25" i="11"/>
  <c r="Q213" i="19" l="1"/>
  <c r="P213" i="19"/>
  <c r="O213" i="19"/>
  <c r="N213" i="19"/>
  <c r="M213" i="19"/>
  <c r="L213" i="19"/>
  <c r="J213" i="19"/>
  <c r="I213" i="19"/>
  <c r="H213" i="19"/>
  <c r="G213" i="19"/>
  <c r="F213" i="19" l="1"/>
  <c r="R138" i="19" l="1"/>
  <c r="R103" i="19" s="1"/>
  <c r="K103" i="19"/>
  <c r="F134" i="19"/>
  <c r="F182" i="19"/>
  <c r="F152" i="19" s="1"/>
  <c r="R182" i="19" l="1"/>
  <c r="R152" i="19" s="1"/>
  <c r="I22" i="11" l="1"/>
  <c r="I21" i="11" l="1"/>
  <c r="I35" i="11" s="1"/>
  <c r="C355" i="20" l="1"/>
  <c r="S221" i="19"/>
  <c r="S223" i="19" s="1"/>
  <c r="R219" i="19"/>
  <c r="R221" i="19" s="1"/>
  <c r="R223" i="19" s="1"/>
  <c r="Q219" i="19"/>
  <c r="Q221" i="19" s="1"/>
  <c r="Q223" i="19" s="1"/>
  <c r="O219" i="19"/>
  <c r="O221" i="19" s="1"/>
  <c r="O223" i="19" s="1"/>
  <c r="N219" i="19"/>
  <c r="N221" i="19" s="1"/>
  <c r="N223" i="19" s="1"/>
  <c r="M219" i="19"/>
  <c r="M221" i="19" s="1"/>
  <c r="M223" i="19" s="1"/>
  <c r="L219" i="19"/>
  <c r="L221" i="19" s="1"/>
  <c r="L223" i="19" s="1"/>
  <c r="K219" i="19"/>
  <c r="K221" i="19" s="1"/>
  <c r="K223" i="19" s="1"/>
  <c r="J219" i="19"/>
  <c r="J221" i="19" s="1"/>
  <c r="J223" i="19" s="1"/>
  <c r="I219" i="19"/>
  <c r="I221" i="19" s="1"/>
  <c r="I223" i="19" s="1"/>
  <c r="H219" i="19"/>
  <c r="H221" i="19" s="1"/>
  <c r="H223" i="19" s="1"/>
  <c r="G219" i="19"/>
  <c r="G221" i="19" s="1"/>
  <c r="G223" i="19" s="1"/>
  <c r="F219" i="19"/>
  <c r="F221" i="19" s="1"/>
  <c r="K209" i="19"/>
  <c r="F209" i="19"/>
  <c r="Q208" i="19"/>
  <c r="Q205" i="19" s="1"/>
  <c r="Q204" i="19" s="1"/>
  <c r="L208" i="19"/>
  <c r="F208" i="19"/>
  <c r="K207" i="19"/>
  <c r="R207" i="19" s="1"/>
  <c r="K206" i="19"/>
  <c r="F206" i="19"/>
  <c r="K203" i="19"/>
  <c r="F203" i="19"/>
  <c r="K202" i="19"/>
  <c r="F202" i="19"/>
  <c r="K201" i="19"/>
  <c r="F201" i="19"/>
  <c r="K200" i="19"/>
  <c r="F200" i="19"/>
  <c r="Q199" i="19"/>
  <c r="Q193" i="19" s="1"/>
  <c r="Q192" i="19" s="1"/>
  <c r="P199" i="19"/>
  <c r="P193" i="19" s="1"/>
  <c r="P192" i="19" s="1"/>
  <c r="K199" i="19"/>
  <c r="F199" i="19"/>
  <c r="K198" i="19"/>
  <c r="F198" i="19"/>
  <c r="K197" i="19"/>
  <c r="F197" i="19"/>
  <c r="K196" i="19"/>
  <c r="F196" i="19"/>
  <c r="K195" i="19"/>
  <c r="F195" i="19"/>
  <c r="F194" i="19"/>
  <c r="O193" i="19"/>
  <c r="O192" i="19" s="1"/>
  <c r="N193" i="19"/>
  <c r="N192" i="19" s="1"/>
  <c r="M193" i="19"/>
  <c r="M192" i="19" s="1"/>
  <c r="L193" i="19"/>
  <c r="L192" i="19" s="1"/>
  <c r="J193" i="19"/>
  <c r="J192" i="19" s="1"/>
  <c r="I193" i="19"/>
  <c r="I192" i="19" s="1"/>
  <c r="H193" i="19"/>
  <c r="H192" i="19" s="1"/>
  <c r="G193" i="19"/>
  <c r="G192" i="19" s="1"/>
  <c r="K191" i="19"/>
  <c r="F191" i="19"/>
  <c r="F190" i="19"/>
  <c r="F150" i="19" s="1"/>
  <c r="F211" i="19" s="1"/>
  <c r="F189" i="19"/>
  <c r="K188" i="19"/>
  <c r="F188" i="19"/>
  <c r="K187" i="19"/>
  <c r="R187" i="19" s="1"/>
  <c r="K186" i="19"/>
  <c r="R186" i="19" s="1"/>
  <c r="K185" i="19"/>
  <c r="R185" i="19" s="1"/>
  <c r="K184" i="19"/>
  <c r="R184" i="19" s="1"/>
  <c r="K183" i="19"/>
  <c r="F183" i="19"/>
  <c r="F181" i="19"/>
  <c r="R181" i="19" s="1"/>
  <c r="K180" i="19"/>
  <c r="F180" i="19"/>
  <c r="K175" i="19"/>
  <c r="F175" i="19"/>
  <c r="K174" i="19"/>
  <c r="F174" i="19"/>
  <c r="K173" i="19"/>
  <c r="F173" i="19"/>
  <c r="K172" i="19"/>
  <c r="F172" i="19"/>
  <c r="K171" i="19"/>
  <c r="F171" i="19"/>
  <c r="K166" i="19"/>
  <c r="F166" i="19"/>
  <c r="K165" i="19"/>
  <c r="R165" i="19" s="1"/>
  <c r="K164" i="19"/>
  <c r="F164" i="19"/>
  <c r="K163" i="19"/>
  <c r="F163" i="19"/>
  <c r="K162" i="19"/>
  <c r="F162" i="19"/>
  <c r="K161" i="19"/>
  <c r="F161" i="19"/>
  <c r="K160" i="19"/>
  <c r="F160" i="19"/>
  <c r="K159" i="19"/>
  <c r="K158" i="19"/>
  <c r="F158" i="19"/>
  <c r="K157" i="19"/>
  <c r="K156" i="19"/>
  <c r="F156" i="19"/>
  <c r="F151" i="19" s="1"/>
  <c r="K155" i="19"/>
  <c r="F155" i="19"/>
  <c r="K153" i="19"/>
  <c r="F153" i="19"/>
  <c r="Q148" i="19"/>
  <c r="P148" i="19"/>
  <c r="O148" i="19"/>
  <c r="N148" i="19"/>
  <c r="M148" i="19"/>
  <c r="L148" i="19"/>
  <c r="J148" i="19"/>
  <c r="I148" i="19"/>
  <c r="H148" i="19"/>
  <c r="G148" i="19"/>
  <c r="K147" i="19"/>
  <c r="F147" i="19"/>
  <c r="K146" i="19"/>
  <c r="R146" i="19" s="1"/>
  <c r="K145" i="19"/>
  <c r="F145" i="19"/>
  <c r="K144" i="19"/>
  <c r="R144" i="19" s="1"/>
  <c r="K143" i="19"/>
  <c r="K142" i="19"/>
  <c r="F142" i="19"/>
  <c r="K140" i="19"/>
  <c r="K100" i="19" s="1"/>
  <c r="F100" i="19"/>
  <c r="K136" i="19"/>
  <c r="K104" i="19" s="1"/>
  <c r="F136" i="19"/>
  <c r="K135" i="19"/>
  <c r="F135" i="19"/>
  <c r="K134" i="19"/>
  <c r="K133" i="19"/>
  <c r="F133" i="19"/>
  <c r="K132" i="19"/>
  <c r="F132" i="19"/>
  <c r="K131" i="19"/>
  <c r="K102" i="19" s="1"/>
  <c r="F131" i="19"/>
  <c r="K128" i="19"/>
  <c r="F128" i="19"/>
  <c r="K127" i="19"/>
  <c r="F127" i="19"/>
  <c r="K126" i="19"/>
  <c r="F126" i="19"/>
  <c r="K125" i="19"/>
  <c r="F125" i="19"/>
  <c r="K124" i="19"/>
  <c r="F124" i="19"/>
  <c r="K123" i="19"/>
  <c r="F123" i="19"/>
  <c r="K122" i="19"/>
  <c r="F122" i="19"/>
  <c r="K121" i="19"/>
  <c r="F121" i="19"/>
  <c r="K120" i="19"/>
  <c r="F120" i="19"/>
  <c r="K119" i="19"/>
  <c r="F119" i="19"/>
  <c r="F118" i="19"/>
  <c r="F117" i="19"/>
  <c r="R117" i="19" s="1"/>
  <c r="F116" i="19"/>
  <c r="F115" i="19"/>
  <c r="R115" i="19" s="1"/>
  <c r="F114" i="19"/>
  <c r="R114" i="19" s="1"/>
  <c r="F113" i="19"/>
  <c r="F112" i="19"/>
  <c r="K105" i="19"/>
  <c r="K214" i="19" s="1"/>
  <c r="F110" i="19"/>
  <c r="F109" i="19"/>
  <c r="K108" i="19"/>
  <c r="F108" i="19"/>
  <c r="K107" i="19"/>
  <c r="F107" i="19"/>
  <c r="F106" i="19"/>
  <c r="R106" i="19" s="1"/>
  <c r="Q105" i="19"/>
  <c r="Q214" i="19" s="1"/>
  <c r="P105" i="19"/>
  <c r="P214" i="19" s="1"/>
  <c r="O105" i="19"/>
  <c r="O214" i="19" s="1"/>
  <c r="N105" i="19"/>
  <c r="N214" i="19" s="1"/>
  <c r="M105" i="19"/>
  <c r="M214" i="19" s="1"/>
  <c r="L105" i="19"/>
  <c r="L214" i="19" s="1"/>
  <c r="J105" i="19"/>
  <c r="J214" i="19" s="1"/>
  <c r="I105" i="19"/>
  <c r="I214" i="19" s="1"/>
  <c r="H105" i="19"/>
  <c r="H214" i="19" s="1"/>
  <c r="G105" i="19"/>
  <c r="G214" i="19" s="1"/>
  <c r="Q104" i="19"/>
  <c r="P104" i="19"/>
  <c r="O104" i="19"/>
  <c r="N104" i="19"/>
  <c r="M104" i="19"/>
  <c r="L104" i="19"/>
  <c r="J104" i="19"/>
  <c r="I104" i="19"/>
  <c r="H104" i="19"/>
  <c r="G104" i="19"/>
  <c r="Q102" i="19"/>
  <c r="Q212" i="19" s="1"/>
  <c r="P102" i="19"/>
  <c r="P212" i="19" s="1"/>
  <c r="O102" i="19"/>
  <c r="O212" i="19" s="1"/>
  <c r="N102" i="19"/>
  <c r="N212" i="19" s="1"/>
  <c r="M102" i="19"/>
  <c r="M212" i="19" s="1"/>
  <c r="L102" i="19"/>
  <c r="L212" i="19" s="1"/>
  <c r="J102" i="19"/>
  <c r="J212" i="19" s="1"/>
  <c r="I102" i="19"/>
  <c r="I212" i="19" s="1"/>
  <c r="H102" i="19"/>
  <c r="H212" i="19" s="1"/>
  <c r="G102" i="19"/>
  <c r="G212" i="19" s="1"/>
  <c r="P101" i="19"/>
  <c r="O101" i="19"/>
  <c r="N101" i="19"/>
  <c r="K101" i="19" s="1"/>
  <c r="M101" i="19"/>
  <c r="I101" i="19"/>
  <c r="H101" i="19"/>
  <c r="G101" i="19"/>
  <c r="F101" i="19" s="1"/>
  <c r="Q98" i="19"/>
  <c r="P98" i="19"/>
  <c r="O98" i="19"/>
  <c r="N98" i="19"/>
  <c r="M98" i="19"/>
  <c r="L98" i="19"/>
  <c r="J98" i="19"/>
  <c r="I98" i="19"/>
  <c r="G98" i="19"/>
  <c r="Q96" i="19"/>
  <c r="O96" i="19"/>
  <c r="N96" i="19"/>
  <c r="M96" i="19"/>
  <c r="L96" i="19"/>
  <c r="J96" i="19"/>
  <c r="I96" i="19"/>
  <c r="H96" i="19"/>
  <c r="G96" i="19"/>
  <c r="P95" i="19"/>
  <c r="K95" i="19"/>
  <c r="F95" i="19"/>
  <c r="P94" i="19"/>
  <c r="K94" i="19"/>
  <c r="F94" i="19"/>
  <c r="P93" i="19"/>
  <c r="K93" i="19"/>
  <c r="F93" i="19"/>
  <c r="K92" i="19"/>
  <c r="F92" i="19"/>
  <c r="K91" i="19"/>
  <c r="F91" i="19"/>
  <c r="K90" i="19"/>
  <c r="K16" i="19" s="1"/>
  <c r="F90" i="19"/>
  <c r="K89" i="19"/>
  <c r="F89" i="19"/>
  <c r="K88" i="19"/>
  <c r="R88" i="19" s="1"/>
  <c r="K87" i="19"/>
  <c r="F87" i="19"/>
  <c r="K85" i="19"/>
  <c r="F85" i="19"/>
  <c r="F84" i="19"/>
  <c r="R84" i="19" s="1"/>
  <c r="K83" i="19"/>
  <c r="F83" i="19"/>
  <c r="K82" i="19"/>
  <c r="F82" i="19"/>
  <c r="F81" i="19"/>
  <c r="R81" i="19" s="1"/>
  <c r="K80" i="19"/>
  <c r="F80" i="19"/>
  <c r="K79" i="19"/>
  <c r="F79" i="19"/>
  <c r="F78" i="19"/>
  <c r="R78" i="19" s="1"/>
  <c r="K77" i="19"/>
  <c r="F77" i="19"/>
  <c r="K76" i="19"/>
  <c r="F76" i="19"/>
  <c r="K75" i="19"/>
  <c r="F75" i="19"/>
  <c r="K74" i="19"/>
  <c r="F74" i="19"/>
  <c r="K73" i="19"/>
  <c r="F73" i="19"/>
  <c r="F72" i="19"/>
  <c r="R72" i="19" s="1"/>
  <c r="R18" i="19" s="1"/>
  <c r="F71" i="19"/>
  <c r="R71" i="19" s="1"/>
  <c r="K70" i="19"/>
  <c r="F70" i="19"/>
  <c r="K69" i="19"/>
  <c r="R69" i="19" s="1"/>
  <c r="K68" i="19"/>
  <c r="F68" i="19"/>
  <c r="K67" i="19"/>
  <c r="F67" i="19"/>
  <c r="K66" i="19"/>
  <c r="F66" i="19"/>
  <c r="K65" i="19"/>
  <c r="R65" i="19" s="1"/>
  <c r="F64" i="19"/>
  <c r="R64" i="19" s="1"/>
  <c r="K63" i="19"/>
  <c r="R63" i="19" s="1"/>
  <c r="K62" i="19"/>
  <c r="F62" i="19"/>
  <c r="K61" i="19"/>
  <c r="F61" i="19"/>
  <c r="K59" i="19"/>
  <c r="F59" i="19"/>
  <c r="K58" i="19"/>
  <c r="F58" i="19"/>
  <c r="K57" i="19"/>
  <c r="F57" i="19"/>
  <c r="K56" i="19"/>
  <c r="F56" i="19"/>
  <c r="K55" i="19"/>
  <c r="F55" i="19"/>
  <c r="F54" i="19"/>
  <c r="K53" i="19"/>
  <c r="F53" i="19"/>
  <c r="K52" i="19"/>
  <c r="F52" i="19"/>
  <c r="K51" i="19"/>
  <c r="F51" i="19"/>
  <c r="K50" i="19"/>
  <c r="R50" i="19" s="1"/>
  <c r="K49" i="19"/>
  <c r="R49" i="19" s="1"/>
  <c r="K48" i="19"/>
  <c r="F48" i="19"/>
  <c r="K47" i="19"/>
  <c r="F47" i="19"/>
  <c r="K46" i="19"/>
  <c r="F46" i="19"/>
  <c r="K45" i="19"/>
  <c r="F45" i="19"/>
  <c r="K44" i="19"/>
  <c r="F44" i="19"/>
  <c r="F43" i="19"/>
  <c r="R43" i="19" s="1"/>
  <c r="K42" i="19"/>
  <c r="F42" i="19"/>
  <c r="K41" i="19"/>
  <c r="F41" i="19"/>
  <c r="K40" i="19"/>
  <c r="F40" i="19"/>
  <c r="F39" i="19"/>
  <c r="R39" i="19" s="1"/>
  <c r="K38" i="19"/>
  <c r="F38" i="19"/>
  <c r="K37" i="19"/>
  <c r="F37" i="19"/>
  <c r="K36" i="19"/>
  <c r="F36" i="19"/>
  <c r="K35" i="19"/>
  <c r="F35" i="19"/>
  <c r="F34" i="19"/>
  <c r="R34" i="19" s="1"/>
  <c r="F33" i="19"/>
  <c r="R33" i="19" s="1"/>
  <c r="F32" i="19"/>
  <c r="R32" i="19" s="1"/>
  <c r="K31" i="19"/>
  <c r="F31" i="19"/>
  <c r="R30" i="19"/>
  <c r="K29" i="19"/>
  <c r="F29" i="19"/>
  <c r="F28" i="19"/>
  <c r="R28" i="19" s="1"/>
  <c r="F27" i="19"/>
  <c r="R27" i="19" s="1"/>
  <c r="F26" i="19"/>
  <c r="R26" i="19" s="1"/>
  <c r="F25" i="19"/>
  <c r="R25" i="19" s="1"/>
  <c r="F24" i="19"/>
  <c r="R24" i="19" s="1"/>
  <c r="F23" i="19"/>
  <c r="R23" i="19" s="1"/>
  <c r="F22" i="19"/>
  <c r="R22" i="19" s="1"/>
  <c r="K21" i="19"/>
  <c r="F21" i="19"/>
  <c r="F20" i="19"/>
  <c r="R20" i="19" s="1"/>
  <c r="K19" i="19"/>
  <c r="F19" i="19"/>
  <c r="Q18" i="19"/>
  <c r="P18" i="19"/>
  <c r="O18" i="19"/>
  <c r="N18" i="19"/>
  <c r="M18" i="19"/>
  <c r="L18" i="19"/>
  <c r="K18" i="19"/>
  <c r="J18" i="19"/>
  <c r="I18" i="19"/>
  <c r="H18" i="19"/>
  <c r="G18" i="19"/>
  <c r="Q16" i="19"/>
  <c r="P16" i="19"/>
  <c r="O16" i="19"/>
  <c r="N16" i="19"/>
  <c r="M16" i="19"/>
  <c r="L16" i="19"/>
  <c r="J16" i="19"/>
  <c r="G16" i="19"/>
  <c r="K15" i="19"/>
  <c r="F15" i="19"/>
  <c r="Q14" i="19"/>
  <c r="P14" i="19"/>
  <c r="P13" i="19" s="1"/>
  <c r="O14" i="19"/>
  <c r="N14" i="19"/>
  <c r="M14" i="19"/>
  <c r="L14" i="19"/>
  <c r="J14" i="19"/>
  <c r="I14" i="19"/>
  <c r="H14" i="19"/>
  <c r="G14" i="19"/>
  <c r="E55" i="18"/>
  <c r="F53" i="18"/>
  <c r="E53" i="18"/>
  <c r="D53" i="18"/>
  <c r="F47" i="18"/>
  <c r="E47" i="18"/>
  <c r="D45" i="18"/>
  <c r="F44" i="18"/>
  <c r="E44" i="18"/>
  <c r="D44" i="18"/>
  <c r="F37" i="18"/>
  <c r="F55" i="18" s="1"/>
  <c r="D37" i="18"/>
  <c r="D55" i="18" s="1"/>
  <c r="F33" i="18"/>
  <c r="F54" i="18" s="1"/>
  <c r="D33" i="18"/>
  <c r="D54" i="18" s="1"/>
  <c r="C32" i="18"/>
  <c r="D31" i="18"/>
  <c r="D15" i="18" s="1"/>
  <c r="F26" i="18"/>
  <c r="E26" i="18"/>
  <c r="C26" i="18" s="1"/>
  <c r="D47" i="18"/>
  <c r="C24" i="18"/>
  <c r="F46" i="18"/>
  <c r="E46" i="18"/>
  <c r="G23" i="18"/>
  <c r="G31" i="18" s="1"/>
  <c r="C22" i="18"/>
  <c r="F45" i="18"/>
  <c r="C20" i="18"/>
  <c r="C19" i="18"/>
  <c r="F17" i="18"/>
  <c r="D17" i="18"/>
  <c r="F16" i="18"/>
  <c r="E16" i="18"/>
  <c r="E14" i="18"/>
  <c r="E38" i="18" s="1"/>
  <c r="F124" i="17"/>
  <c r="F126" i="17" s="1"/>
  <c r="E124" i="17"/>
  <c r="E126" i="17" s="1"/>
  <c r="D124" i="17"/>
  <c r="D126" i="17" s="1"/>
  <c r="C124" i="17"/>
  <c r="C126" i="17" s="1"/>
  <c r="C116" i="17"/>
  <c r="C115" i="17"/>
  <c r="C88" i="17"/>
  <c r="C87" i="17" s="1"/>
  <c r="C86" i="17" s="1"/>
  <c r="F87" i="17"/>
  <c r="F86" i="17" s="1"/>
  <c r="E87" i="17"/>
  <c r="E86" i="17" s="1"/>
  <c r="D87" i="17"/>
  <c r="D86" i="17" s="1"/>
  <c r="C85" i="17"/>
  <c r="C84" i="17" s="1"/>
  <c r="F84" i="17"/>
  <c r="F83" i="17" s="1"/>
  <c r="E84" i="17"/>
  <c r="E83" i="17" s="1"/>
  <c r="D84" i="17"/>
  <c r="D83" i="17" s="1"/>
  <c r="C81" i="17"/>
  <c r="C80" i="17"/>
  <c r="E79" i="17"/>
  <c r="E78" i="17" s="1"/>
  <c r="D79" i="17"/>
  <c r="D78" i="17" s="1"/>
  <c r="C77" i="17"/>
  <c r="D76" i="17"/>
  <c r="C76" i="17" s="1"/>
  <c r="C74" i="17"/>
  <c r="C73" i="17"/>
  <c r="E72" i="17"/>
  <c r="D72" i="17"/>
  <c r="C71" i="17"/>
  <c r="C70" i="17"/>
  <c r="C69" i="17"/>
  <c r="E68" i="17"/>
  <c r="D68" i="17"/>
  <c r="C66" i="17"/>
  <c r="C65" i="17"/>
  <c r="E64" i="17"/>
  <c r="E63" i="17" s="1"/>
  <c r="D64" i="17"/>
  <c r="D63" i="17" s="1"/>
  <c r="F62" i="17"/>
  <c r="C61" i="17"/>
  <c r="C60" i="17"/>
  <c r="C59" i="17"/>
  <c r="E58" i="17"/>
  <c r="E57" i="17" s="1"/>
  <c r="E14" i="17" s="1"/>
  <c r="D58" i="17"/>
  <c r="D57" i="17" s="1"/>
  <c r="C56" i="17"/>
  <c r="C55" i="17"/>
  <c r="C54" i="17"/>
  <c r="E53" i="17"/>
  <c r="D53" i="17"/>
  <c r="C52" i="17"/>
  <c r="C51" i="17"/>
  <c r="F50" i="17"/>
  <c r="F39" i="17" s="1"/>
  <c r="F38" i="17" s="1"/>
  <c r="E50" i="17"/>
  <c r="E39" i="17" s="1"/>
  <c r="D50" i="17"/>
  <c r="C49" i="17"/>
  <c r="C48" i="17"/>
  <c r="C47" i="17"/>
  <c r="C46" i="17"/>
  <c r="C45" i="17"/>
  <c r="C44" i="17"/>
  <c r="C43" i="17"/>
  <c r="C42" i="17"/>
  <c r="C41" i="17"/>
  <c r="C40" i="17"/>
  <c r="C37" i="17"/>
  <c r="C36" i="17"/>
  <c r="D35" i="17"/>
  <c r="C35" i="17" s="1"/>
  <c r="C34" i="17"/>
  <c r="C33" i="17" s="1"/>
  <c r="E33" i="17"/>
  <c r="D33" i="17"/>
  <c r="C32" i="17"/>
  <c r="C31" i="17" s="1"/>
  <c r="E31" i="17"/>
  <c r="D31" i="17"/>
  <c r="C29" i="17"/>
  <c r="C28" i="17" s="1"/>
  <c r="D28" i="17"/>
  <c r="C27" i="17"/>
  <c r="C26" i="17" s="1"/>
  <c r="D26" i="17"/>
  <c r="C24" i="17"/>
  <c r="D23" i="17"/>
  <c r="C23" i="17" s="1"/>
  <c r="C22" i="17"/>
  <c r="C21" i="17"/>
  <c r="C20" i="17"/>
  <c r="C19" i="17"/>
  <c r="C18" i="17"/>
  <c r="C17" i="17"/>
  <c r="F16" i="17"/>
  <c r="F15" i="17" s="1"/>
  <c r="E16" i="17"/>
  <c r="E15" i="17" s="1"/>
  <c r="D16" i="17"/>
  <c r="F14" i="17"/>
  <c r="C53" i="18" l="1"/>
  <c r="F149" i="19"/>
  <c r="F148" i="19" s="1"/>
  <c r="K149" i="19"/>
  <c r="K148" i="19" s="1"/>
  <c r="K151" i="19"/>
  <c r="K212" i="19"/>
  <c r="C107" i="17"/>
  <c r="C91" i="17" s="1"/>
  <c r="C90" i="17" s="1"/>
  <c r="C44" i="18"/>
  <c r="F43" i="18"/>
  <c r="F99" i="19"/>
  <c r="F98" i="19" s="1"/>
  <c r="K99" i="19"/>
  <c r="K98" i="19" s="1"/>
  <c r="R121" i="19"/>
  <c r="R125" i="19"/>
  <c r="R131" i="19"/>
  <c r="C50" i="17"/>
  <c r="C39" i="17" s="1"/>
  <c r="C37" i="18"/>
  <c r="K208" i="19"/>
  <c r="K205" i="19" s="1"/>
  <c r="K204" i="19" s="1"/>
  <c r="L205" i="19"/>
  <c r="L204" i="19" s="1"/>
  <c r="R128" i="19"/>
  <c r="R119" i="19"/>
  <c r="R135" i="19"/>
  <c r="R123" i="19"/>
  <c r="R120" i="19"/>
  <c r="R124" i="19"/>
  <c r="R127" i="19"/>
  <c r="R116" i="19"/>
  <c r="R133" i="19"/>
  <c r="R109" i="19"/>
  <c r="R110" i="19"/>
  <c r="R134" i="19"/>
  <c r="R112" i="19"/>
  <c r="R101" i="19"/>
  <c r="R108" i="19"/>
  <c r="R113" i="19"/>
  <c r="F104" i="19"/>
  <c r="R104" i="19" s="1"/>
  <c r="R136" i="19"/>
  <c r="R118" i="19"/>
  <c r="R122" i="19"/>
  <c r="R126" i="19"/>
  <c r="R132" i="19"/>
  <c r="C64" i="17"/>
  <c r="C63" i="17" s="1"/>
  <c r="R203" i="19"/>
  <c r="R196" i="19"/>
  <c r="R209" i="19"/>
  <c r="R201" i="19"/>
  <c r="I97" i="19"/>
  <c r="R46" i="19"/>
  <c r="D15" i="17"/>
  <c r="H97" i="19"/>
  <c r="F18" i="19"/>
  <c r="R94" i="19"/>
  <c r="L97" i="19"/>
  <c r="M97" i="19"/>
  <c r="N97" i="19"/>
  <c r="R48" i="19"/>
  <c r="R173" i="19"/>
  <c r="R183" i="19"/>
  <c r="R57" i="19"/>
  <c r="E67" i="17"/>
  <c r="E62" i="17" s="1"/>
  <c r="C72" i="17"/>
  <c r="R153" i="19"/>
  <c r="F16" i="19"/>
  <c r="R16" i="19" s="1"/>
  <c r="R58" i="19"/>
  <c r="R190" i="19"/>
  <c r="R150" i="19" s="1"/>
  <c r="R211" i="19" s="1"/>
  <c r="C78" i="17"/>
  <c r="C58" i="17"/>
  <c r="C57" i="17" s="1"/>
  <c r="D67" i="17"/>
  <c r="R42" i="19"/>
  <c r="R80" i="19"/>
  <c r="R91" i="19"/>
  <c r="R36" i="19"/>
  <c r="R41" i="19"/>
  <c r="R37" i="19"/>
  <c r="R147" i="19"/>
  <c r="R191" i="19"/>
  <c r="R163" i="19"/>
  <c r="R156" i="19"/>
  <c r="E82" i="17"/>
  <c r="C16" i="17"/>
  <c r="C15" i="17" s="1"/>
  <c r="F82" i="17"/>
  <c r="F89" i="17" s="1"/>
  <c r="C68" i="17"/>
  <c r="C53" i="17"/>
  <c r="C30" i="17"/>
  <c r="D30" i="17"/>
  <c r="E38" i="17"/>
  <c r="E30" i="17"/>
  <c r="D25" i="17"/>
  <c r="C79" i="17"/>
  <c r="C25" i="17"/>
  <c r="D39" i="17"/>
  <c r="D38" i="17" s="1"/>
  <c r="R82" i="19"/>
  <c r="J97" i="19"/>
  <c r="R61" i="19"/>
  <c r="F205" i="19"/>
  <c r="F204" i="19" s="1"/>
  <c r="R175" i="19"/>
  <c r="R160" i="19"/>
  <c r="R164" i="19"/>
  <c r="S99" i="19"/>
  <c r="R66" i="19"/>
  <c r="R70" i="19"/>
  <c r="R75" i="19"/>
  <c r="R52" i="19"/>
  <c r="R15" i="19"/>
  <c r="R31" i="19"/>
  <c r="R45" i="19"/>
  <c r="R29" i="19"/>
  <c r="P96" i="19"/>
  <c r="P97" i="19" s="1"/>
  <c r="O97" i="19"/>
  <c r="R55" i="19"/>
  <c r="R59" i="19"/>
  <c r="R19" i="19"/>
  <c r="R40" i="19"/>
  <c r="R51" i="19"/>
  <c r="R83" i="19"/>
  <c r="R89" i="19"/>
  <c r="R95" i="19"/>
  <c r="K193" i="19"/>
  <c r="K192" i="19" s="1"/>
  <c r="Q97" i="19"/>
  <c r="R44" i="19"/>
  <c r="R47" i="19"/>
  <c r="R56" i="19"/>
  <c r="R79" i="19"/>
  <c r="R93" i="19"/>
  <c r="R145" i="19"/>
  <c r="R174" i="19"/>
  <c r="R200" i="19"/>
  <c r="R162" i="19"/>
  <c r="R189" i="19"/>
  <c r="R38" i="19"/>
  <c r="R53" i="19"/>
  <c r="R67" i="19"/>
  <c r="R76" i="19"/>
  <c r="R62" i="19"/>
  <c r="R172" i="19"/>
  <c r="R180" i="19"/>
  <c r="R195" i="19"/>
  <c r="R199" i="19"/>
  <c r="R202" i="19"/>
  <c r="R161" i="19"/>
  <c r="F193" i="19"/>
  <c r="F192" i="19" s="1"/>
  <c r="R198" i="19"/>
  <c r="R158" i="19"/>
  <c r="R194" i="19"/>
  <c r="R159" i="19"/>
  <c r="R151" i="19" s="1"/>
  <c r="R166" i="19"/>
  <c r="R188" i="19"/>
  <c r="R155" i="19"/>
  <c r="R171" i="19"/>
  <c r="R142" i="19"/>
  <c r="R197" i="19"/>
  <c r="H98" i="19"/>
  <c r="R107" i="19"/>
  <c r="M13" i="19"/>
  <c r="M210" i="19" s="1"/>
  <c r="M193" i="23" s="1"/>
  <c r="R68" i="19"/>
  <c r="K14" i="19"/>
  <c r="R73" i="19"/>
  <c r="R74" i="19"/>
  <c r="H13" i="19"/>
  <c r="K96" i="19"/>
  <c r="R77" i="19"/>
  <c r="R85" i="19"/>
  <c r="R90" i="19"/>
  <c r="R87" i="19"/>
  <c r="R92" i="19"/>
  <c r="G97" i="19"/>
  <c r="R140" i="19"/>
  <c r="R100" i="19" s="1"/>
  <c r="F102" i="19"/>
  <c r="L13" i="19"/>
  <c r="N13" i="19"/>
  <c r="N210" i="19" s="1"/>
  <c r="N193" i="23" s="1"/>
  <c r="O13" i="19"/>
  <c r="O210" i="19" s="1"/>
  <c r="O193" i="23" s="1"/>
  <c r="R143" i="19"/>
  <c r="G13" i="19"/>
  <c r="G210" i="19" s="1"/>
  <c r="G193" i="23" s="1"/>
  <c r="F96" i="19"/>
  <c r="C33" i="18"/>
  <c r="C356" i="20"/>
  <c r="D360" i="20" s="1"/>
  <c r="P210" i="19"/>
  <c r="P193" i="23" s="1"/>
  <c r="K224" i="19"/>
  <c r="R35" i="19"/>
  <c r="I13" i="19"/>
  <c r="I210" i="19" s="1"/>
  <c r="I193" i="23" s="1"/>
  <c r="Q13" i="19"/>
  <c r="Q210" i="19" s="1"/>
  <c r="R206" i="19"/>
  <c r="J13" i="19"/>
  <c r="J210" i="19" s="1"/>
  <c r="J193" i="23" s="1"/>
  <c r="R21" i="19"/>
  <c r="F14" i="19"/>
  <c r="F105" i="19"/>
  <c r="F223" i="19"/>
  <c r="F42" i="18"/>
  <c r="D43" i="18"/>
  <c r="C47" i="18"/>
  <c r="C31" i="18"/>
  <c r="D52" i="18"/>
  <c r="E42" i="18"/>
  <c r="F31" i="18"/>
  <c r="F15" i="18" s="1"/>
  <c r="D46" i="18"/>
  <c r="E52" i="18"/>
  <c r="E54" i="18"/>
  <c r="C54" i="18" s="1"/>
  <c r="C23" i="18"/>
  <c r="E17" i="18"/>
  <c r="C17" i="18" s="1"/>
  <c r="E45" i="18"/>
  <c r="D16" i="18"/>
  <c r="C16" i="18" s="1"/>
  <c r="D82" i="17"/>
  <c r="C83" i="17"/>
  <c r="D75" i="17"/>
  <c r="C75" i="17" s="1"/>
  <c r="R149" i="19" l="1"/>
  <c r="E41" i="18"/>
  <c r="E40" i="18" s="1"/>
  <c r="E56" i="18" s="1"/>
  <c r="D41" i="18"/>
  <c r="R99" i="19"/>
  <c r="S100" i="19" s="1"/>
  <c r="R102" i="19"/>
  <c r="R212" i="19" s="1"/>
  <c r="F212" i="19"/>
  <c r="R208" i="19"/>
  <c r="K213" i="19"/>
  <c r="R213" i="19"/>
  <c r="F214" i="19"/>
  <c r="R105" i="19"/>
  <c r="R214" i="19" s="1"/>
  <c r="L210" i="19"/>
  <c r="C82" i="17"/>
  <c r="H210" i="19"/>
  <c r="H193" i="23" s="1"/>
  <c r="E89" i="17"/>
  <c r="E117" i="17" s="1"/>
  <c r="C67" i="17"/>
  <c r="C62" i="17" s="1"/>
  <c r="R192" i="19"/>
  <c r="R148" i="19"/>
  <c r="D14" i="17"/>
  <c r="F117" i="17"/>
  <c r="R193" i="19"/>
  <c r="C38" i="17"/>
  <c r="C14" i="17" s="1"/>
  <c r="K97" i="19"/>
  <c r="R14" i="19"/>
  <c r="R13" i="19" s="1"/>
  <c r="R96" i="19"/>
  <c r="C357" i="20"/>
  <c r="R98" i="19"/>
  <c r="K13" i="19"/>
  <c r="K210" i="19" s="1"/>
  <c r="C52" i="18"/>
  <c r="F13" i="19"/>
  <c r="F210" i="19" s="1"/>
  <c r="F97" i="19"/>
  <c r="R204" i="19"/>
  <c r="R205" i="19"/>
  <c r="F14" i="18"/>
  <c r="F38" i="18" s="1"/>
  <c r="F52" i="18"/>
  <c r="E43" i="18"/>
  <c r="C43" i="18" s="1"/>
  <c r="C45" i="18"/>
  <c r="D42" i="18"/>
  <c r="C42" i="18" s="1"/>
  <c r="C46" i="18"/>
  <c r="D14" i="18"/>
  <c r="C15" i="18"/>
  <c r="D62" i="17"/>
  <c r="K193" i="23" l="1"/>
  <c r="F41" i="18"/>
  <c r="F40" i="18" s="1"/>
  <c r="F56" i="18" s="1"/>
  <c r="F215" i="19"/>
  <c r="F193" i="23"/>
  <c r="L193" i="23"/>
  <c r="D359" i="20"/>
  <c r="C89" i="17"/>
  <c r="C117" i="17" s="1"/>
  <c r="D356" i="20" s="1"/>
  <c r="D89" i="17"/>
  <c r="D117" i="17" s="1"/>
  <c r="R97" i="19"/>
  <c r="R210" i="19"/>
  <c r="R193" i="23" s="1"/>
  <c r="C14" i="18"/>
  <c r="D38" i="18"/>
  <c r="C38" i="18" s="1"/>
  <c r="C41" i="18"/>
  <c r="D40" i="18"/>
  <c r="C360" i="20" l="1"/>
  <c r="C118" i="17"/>
  <c r="R215" i="19"/>
  <c r="D358" i="20"/>
  <c r="D56" i="18"/>
  <c r="C40" i="18"/>
  <c r="C56" i="18" s="1"/>
  <c r="G102" i="12" l="1"/>
</calcChain>
</file>

<file path=xl/sharedStrings.xml><?xml version="1.0" encoding="utf-8"?>
<sst xmlns="http://schemas.openxmlformats.org/spreadsheetml/2006/main" count="4278" uniqueCount="1465">
  <si>
    <t>видатки розвитку</t>
  </si>
  <si>
    <t>Секретар міської ради</t>
  </si>
  <si>
    <t>X</t>
  </si>
  <si>
    <t>УСЬОГО</t>
  </si>
  <si>
    <t>Рішення міської ради № 481  від 12.10.2021 року</t>
  </si>
  <si>
    <t>Комплексна програма попередження та припинення протиправних дій у сфері державної безпеки, профілактитки злочинності та цивільного захисту населення на території Новоукраїнської міської територіальної громади на 2021-2025 роки у новій редакції</t>
  </si>
  <si>
    <t>Субвенція з місцевого бюджету державному бюджету на виконання програм соціально-економічного розвитку регіоні</t>
  </si>
  <si>
    <t>0180</t>
  </si>
  <si>
    <t>9800</t>
  </si>
  <si>
    <t>3719800</t>
  </si>
  <si>
    <t>Рішення міської ради № 22 від 01.12.2020 року</t>
  </si>
  <si>
    <t>Програма соціально-економічного та культурного розвитку Новоукраїнської міської об’єднаної територіальної громади на 2021 рік</t>
  </si>
  <si>
    <t>Інші субвенції з місцевого бюджету</t>
  </si>
  <si>
    <t>9770</t>
  </si>
  <si>
    <t>3719770</t>
  </si>
  <si>
    <t xml:space="preserve">Фінансове управління  Новоукраїнської міської ради </t>
  </si>
  <si>
    <t>Реалізація програм і заходів в галузі туризму та курортів</t>
  </si>
  <si>
    <t>0470</t>
  </si>
  <si>
    <t>7622</t>
  </si>
  <si>
    <t>1017622</t>
  </si>
  <si>
    <t>Рішення міської ради № 626 від 12.09.2017 року</t>
  </si>
  <si>
    <t>0443</t>
  </si>
  <si>
    <t>7340</t>
  </si>
  <si>
    <t>1017340</t>
  </si>
  <si>
    <t>Інші заходи в галузі культури і мистецтва</t>
  </si>
  <si>
    <t>0829</t>
  </si>
  <si>
    <t>4082</t>
  </si>
  <si>
    <t>1014082</t>
  </si>
  <si>
    <t xml:space="preserve">Забезпечення діяльності інших закладів в галузі культури і мистецтва </t>
  </si>
  <si>
    <t>4081</t>
  </si>
  <si>
    <t>1014081</t>
  </si>
  <si>
    <t>Забезпечення діяльності палаців i будинків культури, клубів, центрів дозвілля та iнших клубних закладів</t>
  </si>
  <si>
    <t>0828</t>
  </si>
  <si>
    <t>4060</t>
  </si>
  <si>
    <t>1014060</t>
  </si>
  <si>
    <t>Забезпечення діяльності бiблiотек</t>
  </si>
  <si>
    <t>0824</t>
  </si>
  <si>
    <t>4030</t>
  </si>
  <si>
    <t>1014030</t>
  </si>
  <si>
    <t>0960</t>
  </si>
  <si>
    <t>1080</t>
  </si>
  <si>
    <t>1011080</t>
  </si>
  <si>
    <t xml:space="preserve">Керівництво і управління у відповідній сфері у містах (місті Києві), селищах, селах територіальних громадах </t>
  </si>
  <si>
    <t>0111</t>
  </si>
  <si>
    <t>0160</t>
  </si>
  <si>
    <t>1010160</t>
  </si>
  <si>
    <t/>
  </si>
  <si>
    <t>Вiддiл культури i туризму виконавчого комiтету Новоукраїнської мiської ради</t>
  </si>
  <si>
    <t>1000000</t>
  </si>
  <si>
    <t>у тому числі за рахунок субвенції з державного бюджету</t>
  </si>
  <si>
    <t>Рішення міської ради № 78  від 26.01.2021 року</t>
  </si>
  <si>
    <t>Програма розвитку, підтримки комунальних закладів охорони здоров’я та надання медичних послуг жителям Новоукраїнської міської територіальної громади понад обсяг, передбачений програмою державних гарантій медичного обслуговування населення, на 2021-2023 роки</t>
  </si>
  <si>
    <t>Виконання інвестиційних проектів в рамках здійснення заходів щодо соціально-економічного розвитку окремих територій</t>
  </si>
  <si>
    <t>0490</t>
  </si>
  <si>
    <t>від 12.03.2019 року № 1216</t>
  </si>
  <si>
    <t>Програма забезпечення впорядкованим соціальним житлом дітей-сиріт та дітей, позбавлених батьківського піклування, осіб з їх числа на території Новоукраїнської міської об’єднаної територіальної громади на 2019-2021 роки</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</si>
  <si>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дітей, позбавлених батьківського піклування, осіб з їх числа</t>
  </si>
  <si>
    <t>0610</t>
  </si>
  <si>
    <t>6083</t>
  </si>
  <si>
    <t>0816083</t>
  </si>
  <si>
    <t>Рішення міської ради № 1864 від 13.10.2020 року</t>
  </si>
  <si>
    <t>Програма соціальної підтримки населення на території Новоукраїнської міської об'єднаної територіальної громади на 2021-2023 роки</t>
  </si>
  <si>
    <t>Інші заходи у сфері соціального захисту і соціального забезпечення</t>
  </si>
  <si>
    <t>1090</t>
  </si>
  <si>
    <t>3242</t>
  </si>
  <si>
    <t>0813242</t>
  </si>
  <si>
    <t>Рішення міської ради № 1863 від 13.10.2020 року</t>
  </si>
  <si>
    <t>Міська програма підтримки учасників антитерористичної операції (операції Об’єднаних сил) та членів їх сімей – мешканців Новоукраїнської міської об’єднаної територіальної громади на 2021-2023 роки</t>
  </si>
  <si>
    <t>Організація та проведення громадських робіт</t>
  </si>
  <si>
    <t>1050</t>
  </si>
  <si>
    <t>3210</t>
  </si>
  <si>
    <t>Надання фінансової підтримки громадським організаціям ветеранів і осіб з інвалідністю, діяльність яких має соціальну спрямованість</t>
  </si>
  <si>
    <t>0813192</t>
  </si>
  <si>
    <t>Інші видатки на соціальний захист ветеранів війни та праці</t>
  </si>
  <si>
    <t>1030</t>
  </si>
  <si>
    <t>3191</t>
  </si>
  <si>
    <t>0813191</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</si>
  <si>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</si>
  <si>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1010</t>
  </si>
  <si>
    <t>3160</t>
  </si>
  <si>
    <t>0813160</t>
  </si>
  <si>
    <t>субвенція 1+2</t>
  </si>
  <si>
    <t>Рішення міської ради № 1444 від 10.10.2019 року</t>
  </si>
  <si>
    <t>Програма оздоровлення та відпочинку дітей на 2017-2027 роки</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</si>
  <si>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</si>
  <si>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1040</t>
  </si>
  <si>
    <t>3140</t>
  </si>
  <si>
    <t>0813140</t>
  </si>
  <si>
    <t>наші 1+2</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</si>
  <si>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</si>
  <si>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1020</t>
  </si>
  <si>
    <t>3104</t>
  </si>
  <si>
    <t>0813104</t>
  </si>
  <si>
    <t>всього 1+2</t>
  </si>
  <si>
    <t>Надання пільг окремим категоріям громадян з оплати послуг зв`язку</t>
  </si>
  <si>
    <t>1070</t>
  </si>
  <si>
    <t>3032</t>
  </si>
  <si>
    <t>0813032</t>
  </si>
  <si>
    <t>субвенції з місцевого бюджету на здійснення підтримки окремих закладів та заходів у системі охорони здоров'я за рахунок відповідної субвенції з державного бюджету</t>
  </si>
  <si>
    <t>у тому числі за рахунок:</t>
  </si>
  <si>
    <t>Централізовані заходи з лікування хворих на цукровий та нецукровий діабет</t>
  </si>
  <si>
    <t>0763</t>
  </si>
  <si>
    <t>2144</t>
  </si>
  <si>
    <t>0812144</t>
  </si>
  <si>
    <t>наші 1</t>
  </si>
  <si>
    <t>у тому числі за рахунок іншої субвенції з місцевого бюджету</t>
  </si>
  <si>
    <t>разом 1</t>
  </si>
  <si>
    <t>Первинна медична допомога населенню, що надається центрами первинної медичної (медико-санітарної) допомоги</t>
  </si>
  <si>
    <t>0726</t>
  </si>
  <si>
    <t>2111</t>
  </si>
  <si>
    <t>0812111</t>
  </si>
  <si>
    <t>субвенція 2</t>
  </si>
  <si>
    <t>Багатопрофільна стаціонарна медична допомога населенню</t>
  </si>
  <si>
    <t>0731</t>
  </si>
  <si>
    <t>2010</t>
  </si>
  <si>
    <t>0812010</t>
  </si>
  <si>
    <t>разом 2</t>
  </si>
  <si>
    <t>наші 2</t>
  </si>
  <si>
    <t>Управління соціального захисту та охорони здоров'я  Новоукраїнської міської ради</t>
  </si>
  <si>
    <t>0800000</t>
  </si>
  <si>
    <t>Рішення міської ради № 21 від 01.12.2020 року</t>
  </si>
  <si>
    <t>Будівництво освітніх установ та закладів</t>
  </si>
  <si>
    <t>7321</t>
  </si>
  <si>
    <t>0617321</t>
  </si>
  <si>
    <t>0613140</t>
  </si>
  <si>
    <t>Надання освіти за рахунок залишку коштів за субвенцією з державного бюджету місцевим бюджетам на надання державної підтримки особам з особливими освітніми потребами</t>
  </si>
  <si>
    <t>0990</t>
  </si>
  <si>
    <t>1210</t>
  </si>
  <si>
    <t>0611210</t>
  </si>
  <si>
    <t>Надання освіти за рахунок субвенції з державного бюджету місцевим бюджетам на надання державної підтримки особам з особливими освітніми потребами</t>
  </si>
  <si>
    <t>1200</t>
  </si>
  <si>
    <t>0611200</t>
  </si>
  <si>
    <t>Співфінансування заходів, що реалізуються за рахунок субвенції з державного бюджету місцевим бюджетам на забезпечення якісної, сучасної та доступної загальної середньої освіти "Нова українська школа"</t>
  </si>
  <si>
    <t>1181</t>
  </si>
  <si>
    <t>0611181</t>
  </si>
  <si>
    <t>Виконання заходів в рамках реалізації програми "Спроможна школа для кращих результатів" за рахунок субвенції з державного бюджету місцевим бюджетам</t>
  </si>
  <si>
    <t>1172</t>
  </si>
  <si>
    <t>0611172</t>
  </si>
  <si>
    <t>Співфінансування заходів, що реалізуються за рахунок субвенції з державного бюджету місцевим бюджетам на реалізацію програми "Спроможна школа для кращих результатів"</t>
  </si>
  <si>
    <t>1171</t>
  </si>
  <si>
    <t>0611171</t>
  </si>
  <si>
    <t>Забезпечення діяльності інклюзивно-ресурсних центрів за рахунок залишку коштів за освітньою субвенцією (крім залишку коштів, що мають цільове призначення, виділених відповідно до рішень Кабінету Міністрів України у попередньому бюджетному періоді)</t>
  </si>
  <si>
    <t>1154</t>
  </si>
  <si>
    <t>0611154</t>
  </si>
  <si>
    <t>Інші програми та заходи у сфері освіти</t>
  </si>
  <si>
    <t>1142</t>
  </si>
  <si>
    <t>0611142</t>
  </si>
  <si>
    <t>Забезпечення діяльності інших закладів у сфері освіти</t>
  </si>
  <si>
    <t>1141</t>
  </si>
  <si>
    <t>0611141</t>
  </si>
  <si>
    <t>Надання позашкільної освіти закладами позашкільної освіти, заходи із позашкільної роботи з дітьми</t>
  </si>
  <si>
    <t>0611070</t>
  </si>
  <si>
    <t xml:space="preserve">Надання загальної середньої освіти закладами загальної середньої освіти </t>
  </si>
  <si>
    <t>0921</t>
  </si>
  <si>
    <t>1061</t>
  </si>
  <si>
    <t>0611061</t>
  </si>
  <si>
    <t>Надання загальної середньої освіти закладами загальної середньої освіти</t>
  </si>
  <si>
    <t>1021</t>
  </si>
  <si>
    <t>0611021</t>
  </si>
  <si>
    <t>-</t>
  </si>
  <si>
    <t>Надання дошкільної освіти</t>
  </si>
  <si>
    <t>0910</t>
  </si>
  <si>
    <t>0611010</t>
  </si>
  <si>
    <t>Вiддiл освiти виконавчого комiтету Новоукраїнської мiської ради</t>
  </si>
  <si>
    <t>0600000</t>
  </si>
  <si>
    <t>Інші заходи у сфері засобів масової інформації</t>
  </si>
  <si>
    <t>0830</t>
  </si>
  <si>
    <t>8420</t>
  </si>
  <si>
    <t>Природоохоронні заходи за рахунок цільових фондів</t>
  </si>
  <si>
    <t>0540</t>
  </si>
  <si>
    <t>8340</t>
  </si>
  <si>
    <t>Заходи з організації рятування на водах</t>
  </si>
  <si>
    <t>0320</t>
  </si>
  <si>
    <t>8120</t>
  </si>
  <si>
    <t>Заходи із запобігання та ліквідації надзвичайних ситуацій та наслідків стихійного лиха</t>
  </si>
  <si>
    <t>8110</t>
  </si>
  <si>
    <t>Інші заходи, пов'язані з економічною діяльністю</t>
  </si>
  <si>
    <t>7693</t>
  </si>
  <si>
    <t>Членські внески до асоціацій органів місцевого самоврядування</t>
  </si>
  <si>
    <t>7680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</si>
  <si>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</si>
  <si>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7660</t>
  </si>
  <si>
    <t>Проведення експертної грошової оцінки земельної ділянки чи права на неї</t>
  </si>
  <si>
    <t>7650</t>
  </si>
  <si>
    <t>Сприяння розвитку малого та середнього підприємництва</t>
  </si>
  <si>
    <t>0411</t>
  </si>
  <si>
    <t>7610</t>
  </si>
  <si>
    <t>Реалізація заходів, спрямованих на підвищення доступності широкосмугового доступу до Інтернету в сільській місцевості</t>
  </si>
  <si>
    <t>0460</t>
  </si>
  <si>
    <t>7540</t>
  </si>
  <si>
    <t>0117540</t>
  </si>
  <si>
    <t>Утримання та розвиток автомобільних доріг та дорожньої інфраструктури за рахунок коштів місцевого бюджету</t>
  </si>
  <si>
    <t>0456</t>
  </si>
  <si>
    <t>7461</t>
  </si>
  <si>
    <t>7363</t>
  </si>
  <si>
    <t>Розроблення схем планування та забудови територій (містобудівної документації)</t>
  </si>
  <si>
    <t>7350</t>
  </si>
  <si>
    <t>Будівництво інших об'єктів комунальної власності</t>
  </si>
  <si>
    <t>0117330</t>
  </si>
  <si>
    <t>Будівництво 1 споруд, установ та закладів фізичної культури і спорту</t>
  </si>
  <si>
    <t>7325</t>
  </si>
  <si>
    <t>у тому числі за рахунок субвенції з місцевих бюджетів</t>
  </si>
  <si>
    <t>Здійснення заходів із землеустрою</t>
  </si>
  <si>
    <t>0421</t>
  </si>
  <si>
    <t>7130</t>
  </si>
  <si>
    <t>Інша діяльність у сфері житлово-комунального господарства</t>
  </si>
  <si>
    <t>0640</t>
  </si>
  <si>
    <t>6090</t>
  </si>
  <si>
    <t>Організація благоустрою населених пунктів</t>
  </si>
  <si>
    <t>0620</t>
  </si>
  <si>
    <t>6030</t>
  </si>
  <si>
    <t>Міська  програма "Про конкурс міні-проектів розвитку Новоукраїнської територіальної громади "Влада і громада – разом!" на 2021-2025 роки"</t>
  </si>
  <si>
    <t>Забезпечення функціонування підприємств, установ та організацій, що виробляють, виконують та/або надають житлово-комунальні послуги</t>
  </si>
  <si>
    <t>Забезпечення збору та вивезення сміття і відходів</t>
  </si>
  <si>
    <t>6014</t>
  </si>
  <si>
    <t>Рішення міської ради № 1844  від 13.10.2020 року</t>
  </si>
  <si>
    <t>Забезпечення діяльності водопровідно-каналізаційного господарства</t>
  </si>
  <si>
    <t>6013</t>
  </si>
  <si>
    <t>0810</t>
  </si>
  <si>
    <t>5031</t>
  </si>
  <si>
    <t>0115031</t>
  </si>
  <si>
    <t>Рішення міської ради № 1445 від 10.10.2019 року</t>
  </si>
  <si>
    <t>Програма розвитку фізичної культури і спорту Новоукраїнської об’єднаної територіальної громади на 2017-2027 роки</t>
  </si>
  <si>
    <t>Проведення навчально-тренувальних зборів і змагань з олімпійських видів спорту</t>
  </si>
  <si>
    <t>5011</t>
  </si>
  <si>
    <t>0113242</t>
  </si>
  <si>
    <t>0113191</t>
  </si>
  <si>
    <t>0113160</t>
  </si>
  <si>
    <t>0113140</t>
  </si>
  <si>
    <t>Інші заходи та заклади молодіжної політики</t>
  </si>
  <si>
    <t>3133</t>
  </si>
  <si>
    <t>Заходи державної політики з питань дітей та їх соціального захисту</t>
  </si>
  <si>
    <t>3112</t>
  </si>
  <si>
    <t>0113104</t>
  </si>
  <si>
    <t>0113032</t>
  </si>
  <si>
    <t>Інша діяльність у сфері державного управління</t>
  </si>
  <si>
    <t>0133</t>
  </si>
  <si>
    <t>Рішення міської ради № 91  від 26.01.2021 року</t>
  </si>
  <si>
    <t>Програма Призовник на 2021-2023 роки</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</si>
  <si>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</si>
  <si>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0150</t>
  </si>
  <si>
    <t>Новоукраїнська міська рада</t>
  </si>
  <si>
    <t>у тому числі бюджет розвитку</t>
  </si>
  <si>
    <t>усього</t>
  </si>
  <si>
    <t>Спеціальний фонд</t>
  </si>
  <si>
    <t>Загальний фонд</t>
  </si>
  <si>
    <t>Усього</t>
  </si>
  <si>
    <t>Найменування місцевої/ регіональної програми</t>
  </si>
  <si>
    <t>Найменування головного розпорядника коштів місцевого бюджету/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</si>
  <si>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Код Функціональної класифікації видатків та кредитування бюджету</t>
  </si>
  <si>
    <t>Код Типової програмної класифікації видатків та кредитування місцевого бюджету</t>
  </si>
  <si>
    <t>Код Програмної класифікації видатків та кредитування місцевого бюджету</t>
  </si>
  <si>
    <t>(код бюджету)</t>
  </si>
  <si>
    <t>Додаток 7</t>
  </si>
  <si>
    <t>Додаток 1</t>
  </si>
  <si>
    <t xml:space="preserve">ДОХОДИ  </t>
  </si>
  <si>
    <t>Код</t>
  </si>
  <si>
    <t>Найменування згідно з Класифікацією доходів бюджету</t>
  </si>
  <si>
    <t>10000000</t>
  </si>
  <si>
    <t>Податкові надходження  </t>
  </si>
  <si>
    <t>11000000</t>
  </si>
  <si>
    <t>Податки на доходи, податки на прибуток, податки на збільшення ринкової вартості  </t>
  </si>
  <si>
    <t>11010000</t>
  </si>
  <si>
    <t>Податок та збір на доходи фізичних осіб</t>
  </si>
  <si>
    <t>11010100</t>
  </si>
  <si>
    <t>Податок на доходи фізичних осіб, що сплачується податковими агентами, із доходів платника податку у вигляді заробітної плати</t>
  </si>
  <si>
    <t>11010200</t>
  </si>
  <si>
    <t>Податок на доходи фізичних осіб з грошового забезпечення, грошових винагород та інших виплат, одержаних військовослужбовцями та особами рядового і начальницького складу, що сплачується податковими агентами</t>
  </si>
  <si>
    <t>11010400</t>
  </si>
  <si>
    <t>Податок на доходи фізичних осіб, що сплачується податковими агентами, із доходів платника податку інших ніж заробітна плата</t>
  </si>
  <si>
    <t>11010500</t>
  </si>
  <si>
    <t>Податок на доходи фізичних осіб, що сплачується фізичними особами за результатами річного декларування</t>
  </si>
  <si>
    <t>Податок на прибуток підприємств  </t>
  </si>
  <si>
    <t>Податок на прибуток підприємств та фінансових установ комунальної власності </t>
  </si>
  <si>
    <t>Рентна плата та плата за використання інших природних ресурсів </t>
  </si>
  <si>
    <t>Рентна плата за спеціальне використання лісових ресурсів </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</si>
  <si>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 </t>
  </si>
  <si>
    <t>Рентна плата за користування надрами загальнодержавного значення</t>
  </si>
  <si>
    <t>Рентна плата за користування надрами для видобування інших корисних копалин загальнодержавного значення</t>
  </si>
  <si>
    <t>14000000</t>
  </si>
  <si>
    <t>Внутрішні податки на товари та послуги  </t>
  </si>
  <si>
    <t>14020000</t>
  </si>
  <si>
    <t>Акцизний податок з вироблених в Україні підакцизних товарів (продукції)</t>
  </si>
  <si>
    <t>14021900</t>
  </si>
  <si>
    <t>Пальне</t>
  </si>
  <si>
    <t>14030000</t>
  </si>
  <si>
    <t>Акцизний податок з ввезених на митну територію України підакцизних товарів (продукції) </t>
  </si>
  <si>
    <t>14031900</t>
  </si>
  <si>
    <t>14040000</t>
  </si>
  <si>
    <t>18000000</t>
  </si>
  <si>
    <t>Місцеві податки та збори, що сплачуються (перераховуються) згідно з Податковим кодексом України</t>
  </si>
  <si>
    <t>18010000</t>
  </si>
  <si>
    <t>Податок на майно</t>
  </si>
  <si>
    <t>18010100</t>
  </si>
  <si>
    <t>Податок на нерухоме майно, відмінне від земельної ділянки, сплачений юридичними особами, які є власниками об`єктів житлової нерухомості</t>
  </si>
  <si>
    <t>18010200</t>
  </si>
  <si>
    <t>Податок на нерухоме майно, відмінне від земельної ділянки, сплачений фізичними особами, які є власниками об`єктів житлової нерухомості</t>
  </si>
  <si>
    <t>18010300</t>
  </si>
  <si>
    <t>Податок на нерухоме майно, відмінне від земельної ділянки, сплачений фізичними особами, які є власниками об`єктів нежитлової нерухомості</t>
  </si>
  <si>
    <t>18010400</t>
  </si>
  <si>
    <t>Податок на нерухоме майно, відмінне від земельної ділянки, сплачений юридичними особами, які є власниками об`єктів нежитлової нерухомості</t>
  </si>
  <si>
    <t>18010500</t>
  </si>
  <si>
    <t>Земельний податок з юридичних осіб  </t>
  </si>
  <si>
    <t>18010600</t>
  </si>
  <si>
    <t>Орендна плата з юридичних осіб  </t>
  </si>
  <si>
    <t>18010700</t>
  </si>
  <si>
    <t>Земельний податок з фізичних осіб  </t>
  </si>
  <si>
    <t>18010900</t>
  </si>
  <si>
    <t>Орендна плата з фізичних осіб  </t>
  </si>
  <si>
    <t>18011000</t>
  </si>
  <si>
    <t>Транспортний податок з фізичних осіб</t>
  </si>
  <si>
    <t>18011100</t>
  </si>
  <si>
    <t>Транспортний податок з юридичних осіб</t>
  </si>
  <si>
    <t>18050000</t>
  </si>
  <si>
    <t>Єдиний податок  </t>
  </si>
  <si>
    <t>18050300</t>
  </si>
  <si>
    <t>Єдиний податок з юридичних осіб </t>
  </si>
  <si>
    <t>18050400</t>
  </si>
  <si>
    <t>Єдиний податок з фізичних осіб </t>
  </si>
  <si>
    <t>18050500</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</si>
  <si>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</si>
  <si>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19000000</t>
  </si>
  <si>
    <t>Інші податки та збори </t>
  </si>
  <si>
    <t>19010000</t>
  </si>
  <si>
    <t>Екологічний податок </t>
  </si>
  <si>
    <t>19010100</t>
  </si>
  <si>
    <t>Екологічний податок, який справляється за викиди в атмосферне повітря забруднюючих речовин стаціонарними джерелами забруднення (за винятком викидів в атмосферне повітря двоокису вуглецю)</t>
  </si>
  <si>
    <t>19010200</t>
  </si>
  <si>
    <t>Надходження від скидів забруднюючих речовин безпосередньо у водні об`єкти </t>
  </si>
  <si>
    <t>19010300</t>
  </si>
  <si>
    <t>Надходження від розміщення відходів у спеціально відведених для цього місцях чи на об`єктах, крім розміщення окремих видів відходів як вторинної сировини </t>
  </si>
  <si>
    <t>20000000</t>
  </si>
  <si>
    <t>Неподаткові надходження  </t>
  </si>
  <si>
    <t>21000000</t>
  </si>
  <si>
    <t>Доходи від власності та підприємницької діяльності  </t>
  </si>
  <si>
    <t>21080000</t>
  </si>
  <si>
    <t>Інші надходження  </t>
  </si>
  <si>
    <t>21081100</t>
  </si>
  <si>
    <t>Адміністративні штрафи та інші санкції </t>
  </si>
  <si>
    <t>21081500</t>
  </si>
  <si>
    <t>Адміністративні штрафи та штрафні санкції за порушення законодавства у сфері виробництва та обігу алкогольних напоїв та тютюнових виробів</t>
  </si>
  <si>
    <t>22000000</t>
  </si>
  <si>
    <t>Адміністративні збори та платежі, доходи від некомерційної господарської діяльності </t>
  </si>
  <si>
    <t>22010000</t>
  </si>
  <si>
    <t>Плата за надання адміністративних послуг</t>
  </si>
  <si>
    <t>22010300</t>
  </si>
  <si>
    <t>Адміністративний збір за проведення державної реєстрації юридичних осіб, фізичних осіб – підприємців та громадських формувань</t>
  </si>
  <si>
    <t>22012500</t>
  </si>
  <si>
    <t>Плата за надання інших адміністративних послуг</t>
  </si>
  <si>
    <t>22012600</t>
  </si>
  <si>
    <t>Адміністративний збір за державну реєстрацію речових прав на нерухоме майно та їх обтяжень</t>
  </si>
  <si>
    <t>22090000</t>
  </si>
  <si>
    <t>Державне мито  </t>
  </si>
  <si>
    <t>22090100</t>
  </si>
  <si>
    <t>Державне мито, що сплачується за місцем розгляду та оформлення документів, у тому числі за оформлення документів на спадщину і дарування  </t>
  </si>
  <si>
    <t>22090200</t>
  </si>
  <si>
    <t>Державне мито, не віднесене до інших категорій  </t>
  </si>
  <si>
    <t>25000000</t>
  </si>
  <si>
    <t>Власні надходження бюджетних установ  </t>
  </si>
  <si>
    <t>разом</t>
  </si>
  <si>
    <t>25010000</t>
  </si>
  <si>
    <t>Надходження від плати за послуги, що надаються бюджетними установами згідно із законодавством </t>
  </si>
  <si>
    <t>25010100</t>
  </si>
  <si>
    <t>Плата за послуги, що надаються бюджетними установами згідно з їх основною діяльністю </t>
  </si>
  <si>
    <t>25010300</t>
  </si>
  <si>
    <t>Плата за оренду майна бюджетних установ, що здійснюється відповідно до Закону України "Про оренду державного та комунального майна"</t>
  </si>
  <si>
    <t>30000000</t>
  </si>
  <si>
    <t>Доходи від операцій з капіталом  </t>
  </si>
  <si>
    <t>31000000</t>
  </si>
  <si>
    <t>Надходження від продажу основного капіталу  </t>
  </si>
  <si>
    <t>31010000</t>
  </si>
  <si>
    <t>Кошти від реалізації скарбів, майна, одержаного державою або територіальною громадою в порядку спадкування чи дарування, безхазяйного майна, знахідок, а також валютних цінностей і грошових коштів, власники яких невідомі </t>
  </si>
  <si>
    <t>31010200</t>
  </si>
  <si>
    <t>Кошти від реалізації безхазяйного майна, знахідок, спадкового майна, майна, одержаного територіальною громадою в порядку спадкування чи дарування, а також валютні цінності і грошові кошти, власники яких невідомі  </t>
  </si>
  <si>
    <t>33000000</t>
  </si>
  <si>
    <t>Кошти від продажу землі і нематеріальних активів </t>
  </si>
  <si>
    <t>33010000</t>
  </si>
  <si>
    <t>Кошти від продажу землі  </t>
  </si>
  <si>
    <t>33010100</t>
  </si>
  <si>
    <t>Кошти від продажу земельних ділянок несільськогосподарського призначення, що перебувають у державній або комунальній власності, та земельних ділянок, які знаходяться на території Автономної Республіки Крим</t>
  </si>
  <si>
    <t xml:space="preserve">Усього ( без урахування міжбюджетних трансфертів) </t>
  </si>
  <si>
    <t>40000000</t>
  </si>
  <si>
    <t>Офіційні трансферти  </t>
  </si>
  <si>
    <t>41000000</t>
  </si>
  <si>
    <t>Від органів державного управління  </t>
  </si>
  <si>
    <t>Дотації з державного бюджету місцевим бюджетам</t>
  </si>
  <si>
    <t>41030000</t>
  </si>
  <si>
    <t>Субвенції  з державного бюджету місцевим бюджетам</t>
  </si>
  <si>
    <t>Субвенція з державного бюджету місцевим бюджетам на придбання витратних матеріалів для закладів охорони здоров'я та лікарських засобів для інгаляційної анестезії</t>
  </si>
  <si>
    <t>41033900</t>
  </si>
  <si>
    <t>Освітня субвенція з державного бюджету місцевим бюджетам</t>
  </si>
  <si>
    <t>Дотації з місцевих бюджетів іншим місцевим бюджетам</t>
  </si>
  <si>
    <t>Дотація з місцевого бюджету на здійснення переданих з державного бюджету видатків з утримання закладів освіти та охорони здоров`я за рахунок відповідної додаткової дотації з державного бюджету</t>
  </si>
  <si>
    <t>сума підлягає уточненню</t>
  </si>
  <si>
    <t>Субвенції з місцевих бюджетів іншим місцевим бюджетам</t>
  </si>
  <si>
    <t>Субвенція з місцевого бюджету на здійснення переданих видатків у сфері освіти за рахунок коштів освітньої субвенції</t>
  </si>
  <si>
    <t>Субвенція з місцевого бюджету за рахунок залишку коштів освітньої субвенції, що утворився на початок бюджетного періоду</t>
  </si>
  <si>
    <t>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</si>
  <si>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</si>
  <si>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Субвенція з місцевого бюджету за рахунок залишку коштів субвенції на надання державної підтримки особам з особливими освітніми потребами, що утворився на початок бюджетного періоду</t>
  </si>
  <si>
    <t xml:space="preserve"> </t>
  </si>
  <si>
    <t>Х</t>
  </si>
  <si>
    <t>Разом доходів</t>
  </si>
  <si>
    <t>Додаток 2</t>
  </si>
  <si>
    <t>ФІНАНСУВАННЯ</t>
  </si>
  <si>
    <t xml:space="preserve">Код </t>
  </si>
  <si>
    <t>Фінансування за типом кредитора</t>
  </si>
  <si>
    <t>Внутрішнє фінансування</t>
  </si>
  <si>
    <t>Фінансування  за рахунок зміни залишків коштів  бюджетів</t>
  </si>
  <si>
    <t>у тому числі за рахунок залишків коштів, що склалися на початок року</t>
  </si>
  <si>
    <t>з них за рахунок залишків коштів субвенцій з державного бюджету</t>
  </si>
  <si>
    <t>На початок періоду</t>
  </si>
  <si>
    <t>На кінець періоду</t>
  </si>
  <si>
    <t>Кошти, що передаються із загального фонду бюджету до бюджету розвитку (спеціального фонду)</t>
  </si>
  <si>
    <t>субвенцій з державного бюджету</t>
  </si>
  <si>
    <t>Загальне фінансування</t>
  </si>
  <si>
    <t>Фінансування за типом боргового зобов'язання</t>
  </si>
  <si>
    <t>Фінансування за активними операціями</t>
  </si>
  <si>
    <t>602000</t>
  </si>
  <si>
    <t>Зміни обсягів бюджетних коштів</t>
  </si>
  <si>
    <t>з них за рахунок залишків коштів  субвенцій з державного бюджету</t>
  </si>
  <si>
    <t>602100</t>
  </si>
  <si>
    <t>602200</t>
  </si>
  <si>
    <t>602400</t>
  </si>
  <si>
    <t>субвенцій з місцевого бюджету</t>
  </si>
  <si>
    <t>Додаток 3</t>
  </si>
  <si>
    <t>Разом</t>
  </si>
  <si>
    <t>видатки споживання</t>
  </si>
  <si>
    <t>з них</t>
  </si>
  <si>
    <t>з них капітальні видатки за рахунок коштів, що передаються із загального фонду до бюджету розвитку (спеціального фонду)</t>
  </si>
  <si>
    <t>оплата праці</t>
  </si>
  <si>
    <t>комунальні послуги та енергоносії</t>
  </si>
  <si>
    <t>1</t>
  </si>
  <si>
    <t>2</t>
  </si>
  <si>
    <t>3</t>
  </si>
  <si>
    <t>0200000</t>
  </si>
  <si>
    <t>Виконавчий комітет Новоукраїнської міської ради</t>
  </si>
  <si>
    <t>0210000</t>
  </si>
  <si>
    <t>державного бюджету</t>
  </si>
  <si>
    <t>місцевих бюджетів</t>
  </si>
  <si>
    <t>0210150</t>
  </si>
  <si>
    <t xml:space="preserve">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 </t>
  </si>
  <si>
    <t>у тому числі за рахунок субвенції з місцевих бюджетів:</t>
  </si>
  <si>
    <t>0210180</t>
  </si>
  <si>
    <t>у тому числі субвенція з:</t>
  </si>
  <si>
    <t>державного бюджету:</t>
  </si>
  <si>
    <t>місцевого бюджету за рахунок відповідної субвенції з державного бюджету:</t>
  </si>
  <si>
    <t>0112144</t>
  </si>
  <si>
    <t>іншої субвенції з місцевого бюджету</t>
  </si>
  <si>
    <t>Надання пільг окремим категоріям громадян з оплати послуг зв'язку</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</si>
  <si>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</si>
  <si>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0213112</t>
  </si>
  <si>
    <t>0113121</t>
  </si>
  <si>
    <t>3121</t>
  </si>
  <si>
    <t xml:space="preserve">Утримання та забезпечення діяльності центрів соціальних служб </t>
  </si>
  <si>
    <t>0213133</t>
  </si>
  <si>
    <t>0113192</t>
  </si>
  <si>
    <t>0213210</t>
  </si>
  <si>
    <t>0113241</t>
  </si>
  <si>
    <t>3241</t>
  </si>
  <si>
    <t>Забезпечення діяльності інших закладів у сфері соціального захисту і соціального забезпечення</t>
  </si>
  <si>
    <t>0215011</t>
  </si>
  <si>
    <t>0215031</t>
  </si>
  <si>
    <t>0216013</t>
  </si>
  <si>
    <t>0216014</t>
  </si>
  <si>
    <t>6020</t>
  </si>
  <si>
    <t>0216030</t>
  </si>
  <si>
    <t>0116071</t>
  </si>
  <si>
    <t>6071</t>
  </si>
  <si>
    <t>Відшкодування різниці між розміром ціни (тарифу) на житлово-комунальні послуги, що затверджувалися або погоджувалися рішенням місцевого органу виконавчої влади та органу місцевого самоврядування, та розміром економічно обґрунтованих витрат на їх виробництво (надання)</t>
  </si>
  <si>
    <t>0216090</t>
  </si>
  <si>
    <t>0116083</t>
  </si>
  <si>
    <t>0217130</t>
  </si>
  <si>
    <t>7330</t>
  </si>
  <si>
    <t>0217461</t>
  </si>
  <si>
    <t>0217610</t>
  </si>
  <si>
    <t>0217650</t>
  </si>
  <si>
    <t>0217660</t>
  </si>
  <si>
    <t>0217680</t>
  </si>
  <si>
    <t>0217693</t>
  </si>
  <si>
    <t>0218110</t>
  </si>
  <si>
    <t>0218120</t>
  </si>
  <si>
    <t>0118230</t>
  </si>
  <si>
    <t>8230</t>
  </si>
  <si>
    <t>0380</t>
  </si>
  <si>
    <t>Інші заходи громадського порядку та безпеки</t>
  </si>
  <si>
    <t>0218340</t>
  </si>
  <si>
    <t>0218420</t>
  </si>
  <si>
    <t>0119410</t>
  </si>
  <si>
    <t>9410</t>
  </si>
  <si>
    <t>Субвенція з місцевого бюджету на здійснення переданих видатків у сфері охорони здоров"я за рахунок коштів медичної субвенції</t>
  </si>
  <si>
    <t>у тому числі за рахунок субвенції з державного бюджету:</t>
  </si>
  <si>
    <t>0114080</t>
  </si>
  <si>
    <r>
      <t xml:space="preserve">Відділ освіти виконавчого комітету Новоукраїнської </t>
    </r>
    <r>
      <rPr>
        <b/>
        <sz val="12"/>
        <color indexed="8"/>
        <rFont val="Times New Roman"/>
        <family val="1"/>
        <charset val="204"/>
      </rPr>
      <t>міської ради</t>
    </r>
  </si>
  <si>
    <t>0610000</t>
  </si>
  <si>
    <t>у тому числі за рахунок освітньої субвенції з державного бюджету</t>
  </si>
  <si>
    <t>у тому числі за рахунок субвенції з місцевого бюджету на здійснення переданих видатків у сфері освіти за рахунок коштів освітньої субвенції</t>
  </si>
  <si>
    <t>у тому числі за рахунок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t>
  </si>
  <si>
    <t>0610160</t>
  </si>
  <si>
    <t>Надання дошкільної освiти</t>
  </si>
  <si>
    <t>0611031</t>
  </si>
  <si>
    <t>1031</t>
  </si>
  <si>
    <t>0611151</t>
  </si>
  <si>
    <t>1151</t>
  </si>
  <si>
    <t>Забезпечення діяльності інклюзивно-ресурсних центрів за рахунок коштів місцевого бюджету</t>
  </si>
  <si>
    <t>0611152</t>
  </si>
  <si>
    <t>1152</t>
  </si>
  <si>
    <t>Забезпечення діяльності інклюзивно-ресурсних центрів за рахунок коштів освітньої субвенції</t>
  </si>
  <si>
    <t>0611160</t>
  </si>
  <si>
    <t>1160</t>
  </si>
  <si>
    <t>Забезпечення діяльності центрів професійного розвитку педагогічних працівників</t>
  </si>
  <si>
    <t>0611182</t>
  </si>
  <si>
    <t>1182</t>
  </si>
  <si>
    <t>Виконання заходів, спрямованих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</si>
  <si>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0810000</t>
  </si>
  <si>
    <t>0810160</t>
  </si>
  <si>
    <t>0813121</t>
  </si>
  <si>
    <t>0813133</t>
  </si>
  <si>
    <t>у тому числі за рахунок субвенції з місцевого бюджету</t>
  </si>
  <si>
    <t>Відділ культури і туризму виконавчого комітету Новоукраїнської міської ради</t>
  </si>
  <si>
    <t>1010000</t>
  </si>
  <si>
    <t xml:space="preserve">Надання спеціальної освіти мистецькими школами </t>
  </si>
  <si>
    <t>1014040</t>
  </si>
  <si>
    <t>4040</t>
  </si>
  <si>
    <t>Забезпечення діяльності музеїв і виставок</t>
  </si>
  <si>
    <t>Проектування, реставрація та охорона пам'яток архітектури</t>
  </si>
  <si>
    <t>3700000</t>
  </si>
  <si>
    <t>3710000</t>
  </si>
  <si>
    <t>3710160</t>
  </si>
  <si>
    <t>3718710</t>
  </si>
  <si>
    <t>8710</t>
  </si>
  <si>
    <t>Резервний фонд місцевого бюджету</t>
  </si>
  <si>
    <t>х</t>
  </si>
  <si>
    <t>у тому числі за рахунок субвенцій з державного бюджету</t>
  </si>
  <si>
    <t>у тому числі за рахунок субвенцій з місцевого бюджету</t>
  </si>
  <si>
    <t>Додаток 4</t>
  </si>
  <si>
    <t>КРЕДИТУВАННЯ</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</si>
  <si>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</si>
  <si>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Надання кредитів</t>
  </si>
  <si>
    <t>Повернення кредитів</t>
  </si>
  <si>
    <t>Кредитування, усього</t>
  </si>
  <si>
    <t>загальний фонд</t>
  </si>
  <si>
    <t>спеціальний фонд</t>
  </si>
  <si>
    <t>Додаток 5</t>
  </si>
  <si>
    <t xml:space="preserve">      1. Показники міжбюджетних трансфертів з інших бюджетів</t>
  </si>
  <si>
    <t>(грн)</t>
  </si>
  <si>
    <t>Код Класифікації доходу бюджету/ Код бюджету</t>
  </si>
  <si>
    <t>Найменування трансферту/ Найменування бюджету – надавача міжбюджетного трансферту</t>
  </si>
  <si>
    <t>І. Трансферти до загального фонду бюджету</t>
  </si>
  <si>
    <t>99000000000</t>
  </si>
  <si>
    <t>Державний бюджет</t>
  </si>
  <si>
    <t>Освітня субвенція з державного бюджету місцевим бюджетам </t>
  </si>
  <si>
    <t>41051000</t>
  </si>
  <si>
    <t>11100000000</t>
  </si>
  <si>
    <t>Обласний бюджет Кіровоградської області</t>
  </si>
  <si>
    <t>41053900</t>
  </si>
  <si>
    <t>Бюджет Соколівської сільської територіальної громади</t>
  </si>
  <si>
    <t>Бюджет Ганнівської сільської територіальної громади</t>
  </si>
  <si>
    <t>Бюджет Помічнянської міської територіальної громади</t>
  </si>
  <si>
    <t>Бюджет Глодоської сільської територіальної громади</t>
  </si>
  <si>
    <t>Бюджет Рівнянської сільської територіальної громади</t>
  </si>
  <si>
    <t>ІІ. Трансферти до спеціального фонду бюджету</t>
  </si>
  <si>
    <t xml:space="preserve">      2. Показники міжбюджетних трансфертів іншим бюджетам</t>
  </si>
  <si>
    <t>Код Програмної класифікації видатків та кредитування місцевого бюджету/ Код бюджету</t>
  </si>
  <si>
    <t>Найменування трансферту/ Найменування бюджету – отримувача міжбюджетного трансферту</t>
  </si>
  <si>
    <t>І. Трансферти із загального фонду бюджету</t>
  </si>
  <si>
    <t>ІІ. Трансферти із спеціального фонду бюджету</t>
  </si>
  <si>
    <t>Додаток 6</t>
  </si>
  <si>
    <t>грн.</t>
  </si>
  <si>
    <t>0217363</t>
  </si>
  <si>
    <t>Програма соціально-економічного та культурного розвитку Новоукраїнської міської об’єднаної територіальної громади на 2022 рік</t>
  </si>
  <si>
    <t>0217325</t>
  </si>
  <si>
    <t>КНП "Центр первинної медико-санітарної допомоги" Новоукраїнської міської ради</t>
  </si>
  <si>
    <t>у т.ч.</t>
  </si>
  <si>
    <t>на продукти харчування</t>
  </si>
  <si>
    <t>на оплату комунальних послуг та енергоносіїв</t>
  </si>
  <si>
    <t>КНП "Новоукраїнська міська лікарня" Новоукраїнської міської ради</t>
  </si>
  <si>
    <t>на медикаменти та перев'язувальні матеріали</t>
  </si>
  <si>
    <t>Будівництво1 споруд, установ та закладів фізичної культури і спорту</t>
  </si>
  <si>
    <t>на утримання дитячо-юнацької спортивної школи відповідно до договору про співробітництво</t>
  </si>
  <si>
    <t xml:space="preserve">Керівництво і управління у відповідній сфері у містах (місті Києві), селищах, селах, територіальних громадах </t>
  </si>
  <si>
    <t>cубвенцій з місцевого бюджету</t>
  </si>
  <si>
    <t>Рішення міської ради №549 від 29.11.2021 року</t>
  </si>
  <si>
    <t>Рішення міської ради № 549 від 29.11.2021 року</t>
  </si>
  <si>
    <t>Програма соціально-економічного та культурного розвитку Новоукраїнської міської територіальної громади на 2022 рік</t>
  </si>
  <si>
    <t>Рішення міської ради № 216 від 20.04.2021року</t>
  </si>
  <si>
    <t>Рішення міської ради № 1862 від 13.10.2020 року</t>
  </si>
  <si>
    <t>ОБСЯГИ</t>
  </si>
  <si>
    <t>Найменування інвестиційного проекту</t>
  </si>
  <si>
    <t>Загальний період реалізації проекту, (рік початку і завершення)</t>
  </si>
  <si>
    <t>Загальна вартість проекту, гривень</t>
  </si>
  <si>
    <t>Обсяг капітальних вкладень місцевого бюджету всього, гривень</t>
  </si>
  <si>
    <t>0</t>
  </si>
  <si>
    <t>14040100</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</si>
  <si>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тютюну,рідин, що використовуються в електронних сигаретах, що оподатковується згідно з підпунктом 213.1.14</t>
  </si>
  <si>
    <t>14040200</t>
  </si>
  <si>
    <t>Акцизний податок з реалізації суб`єктами господарювання роздрібної торгівлі підакцизних товарів (крім тих, що оподатковуються згідно з підпунктом 213.1.14 пункту 213.1 статті 213 Податкового кодексу України)</t>
  </si>
  <si>
    <t>Акцизний податок з реалізації суб`єктами господарювання роздрібної торгівлі підакцизних товарів </t>
  </si>
  <si>
    <t xml:space="preserve">на утримання трудового архіву </t>
  </si>
  <si>
    <t>0813230</t>
  </si>
  <si>
    <t>3230</t>
  </si>
  <si>
    <t>Видатки, пов'язані з наданням підтримки внутрішньо переміщеним та/або евакуйованим особам у зв'язку із введенням воєнного стану</t>
  </si>
  <si>
    <t>на утримання трудового архіву</t>
  </si>
  <si>
    <t>на предмети, матеріали, обладанння та інвентар</t>
  </si>
  <si>
    <t>Видатки, пов`язані з наданням підтримки внутрішньо перемішеним та/або евакуйованим особам у зв`язку із введенням воєнного стану</t>
  </si>
  <si>
    <t xml:space="preserve">на оплату праці з нарахуванням </t>
  </si>
  <si>
    <t>на оплату послуг(крім комунальних)</t>
  </si>
  <si>
    <t>на інші виплати населенню</t>
  </si>
  <si>
    <t>Програма оздоровлення та відпочинку дітей на 2021-2027 роки</t>
  </si>
  <si>
    <t>Програми інвентаризації та паспортизації об'єктів культурної спадщини Новоукраїнської міської об’єднаної територіальної громади на 2018 - 2027 роки</t>
  </si>
  <si>
    <t>Комплексна цільова програма "Сім’я та молодь" Новоукраїнської міської об’єднаної територіальної громади на 2018-2027 роки</t>
  </si>
  <si>
    <t>Надання загальної середньої освіти закладами загальної середньої освіти за рахунок коштів місцевого бюджету</t>
  </si>
  <si>
    <t>до рішення Новоукраїнської міської ради восьмого скликання</t>
  </si>
  <si>
    <t>бюджету Новоукраїнської міської територіальної громади на 2024 рік</t>
  </si>
  <si>
    <t>грн</t>
  </si>
  <si>
    <t>Податок на доходи фізичних осіб у вигляді мінімального податкового зобов'язання, що підлягає сплаті фізичними особами</t>
  </si>
  <si>
    <t>18030000</t>
  </si>
  <si>
    <t>Туристичний збір</t>
  </si>
  <si>
    <t>18030100</t>
  </si>
  <si>
    <t>Туристичний збір, сплачений юридичними особами</t>
  </si>
  <si>
    <t>18030200</t>
  </si>
  <si>
    <t>Туристичний збір, сплачений фізичними особами</t>
  </si>
  <si>
    <t>22130000</t>
  </si>
  <si>
    <t>Орендна плата за водні об`єкти (їх частини), що надаються в користування на умовах оренди Радою міністрів Автономної Республіки Крим, обласними, районними, Київською та Севастопольською міськими державними адміністраціями, місцевими радами</t>
  </si>
  <si>
    <t>(гривень)</t>
  </si>
  <si>
    <r>
      <t>Код Програмної класифікації видатків та кредитування місцевих бюджетів</t>
    </r>
    <r>
      <rPr>
        <vertAlign val="superscript"/>
        <sz val="8"/>
        <rFont val="Times New Roman"/>
        <family val="1"/>
        <charset val="204"/>
      </rPr>
      <t>1</t>
    </r>
  </si>
  <si>
    <t>Код Типової програмної класифікації видатків та кредитування місцевих бюджетів</t>
  </si>
  <si>
    <t>Найменування головного розпорядника коштів місцевого бюджету / відповідального виконавця, найменування бюджетної програми згідно з Типовою програмною класифікацією видатків та кредитування місцевих бюджетів</t>
  </si>
  <si>
    <t>0813241</t>
  </si>
  <si>
    <t xml:space="preserve">Всього: </t>
  </si>
  <si>
    <t>на відрядження</t>
  </si>
  <si>
    <t xml:space="preserve">УСЬОГО за розділом І та ІІ, у тому числі: </t>
  </si>
  <si>
    <t xml:space="preserve">Код типової програмної класифікації видатків та кредитування місцевого бюджету </t>
  </si>
  <si>
    <t>Міська Програма розвитку  освіти Новоукраїнської міської  територіальної громади на 2024-2028 роки</t>
  </si>
  <si>
    <t>Рішення міської ради № 1296 від 10.11.2023 року</t>
  </si>
  <si>
    <t>Програма організація харчування дітей у закладах освіти Новоукраїнської міської територіальної громади на 2024-2028 роки</t>
  </si>
  <si>
    <t>Рішення міської ради № 1297 від 10.11.2023 року</t>
  </si>
  <si>
    <t>Рішення міської ради № 1261 від 10.10.2023 року</t>
  </si>
  <si>
    <t>Рішення міської ради № 1226 від 19.09.2023 року</t>
  </si>
  <si>
    <t>Програма національно-патріотичного виховання в Новоукраїнській міській територіальній громаді на 2024-2028 роки</t>
  </si>
  <si>
    <t>у тому числі за рахунок субвенції з:</t>
  </si>
  <si>
    <t>Програма соціально-економічного та культурного розвитку Новоукраїнської міської територіальної громади на 2024 рік</t>
  </si>
  <si>
    <t>Програма соціальної підтримки населення на території Новоукраїнської міської  територіальної громади на 2021-2026 роки</t>
  </si>
  <si>
    <t>Рішення міської ради № 1234  від 19.09.2023 року</t>
  </si>
  <si>
    <t>Програма соціальної підтримки населення на території Новоукраїнської міської територіальної громади на 2021-2026 роки</t>
  </si>
  <si>
    <t>Програму місцевих стимулів для медичних працівників Новоукраїнської міської територіальної громади на 2021-2026 роки (нова редакція)</t>
  </si>
  <si>
    <t>Рішення міської ради № 475 від 12.10.2021 року</t>
  </si>
  <si>
    <t>(грн.)</t>
  </si>
  <si>
    <t>1150300000</t>
  </si>
  <si>
    <t xml:space="preserve">19 грудня 2023 року № 1340  </t>
  </si>
  <si>
    <t>Людмила ВИШНЕВЕЦЬКА</t>
  </si>
  <si>
    <t>Рішення міської ради № 1862 від  13.10.2020 року</t>
  </si>
  <si>
    <t>Програма  забезпечення проведення обов’язкових профілактичних медичних оглядів працівників бюджетних закладів та установ Новоукраїнської міської територіальної громади на 2024- 2026 роки</t>
  </si>
  <si>
    <t>Рішення міської ради № 1335від 19.12.2023 року</t>
  </si>
  <si>
    <t>Програма  забезпечення проведення обов’язкових профілактичних медичних оглядів працівників бюджетних закладів та установ Новоукраїнської міської ериторіальної громади на 2024- 2026 роки</t>
  </si>
  <si>
    <t>Рішення міської ради № 1335 від 19.12.2023 року</t>
  </si>
  <si>
    <t>Додаток  1.1</t>
  </si>
  <si>
    <t xml:space="preserve">до рішення Новоукраїнської міської ради восьмого </t>
  </si>
  <si>
    <t xml:space="preserve">(в редакції рішення Новоукраїнської міської ради           </t>
  </si>
  <si>
    <t xml:space="preserve">ЗМІНИ ДО ДОХОДІВ </t>
  </si>
  <si>
    <t>11010900</t>
  </si>
  <si>
    <t>Податок на доходи фізичних осіб від оподаткування пенсійних виплат або щомісячного довічного грошового утримання, що сплачується (перераховується) згідно з Податковим кодексом України</t>
  </si>
  <si>
    <t>Акцизний податок з реалізації суб`єктами господарювання роздрібної торгівлі підакцизних товарів</t>
  </si>
  <si>
    <t>Доходи від власності та підприємницької діяльності</t>
  </si>
  <si>
    <t>Інші неподаткові надходження</t>
  </si>
  <si>
    <t>Інші надходження</t>
  </si>
  <si>
    <t>Субвенція з державного бюджету місцевим бюджетам на придбання шкільних автобусів</t>
  </si>
  <si>
    <t>Субвенція з державного бюджету місцевим бюджетам на реалізацію проектів в рамках Програми з відновлення України</t>
  </si>
  <si>
    <t xml:space="preserve">Інші дотації з місцевого бюджету </t>
  </si>
  <si>
    <t>Субвенція з місцевого бюджету  на придбання шкільних автобусів за рахунок відповідної субвенції з державного бюджету</t>
  </si>
  <si>
    <t xml:space="preserve">бюджет </t>
  </si>
  <si>
    <t>зміни01</t>
  </si>
  <si>
    <t>зміни02</t>
  </si>
  <si>
    <t>Найменування згідно з класифікацією фінансування бюджету</t>
  </si>
  <si>
    <t>з них за рахунок залишків коштів субвенцій з місцевого бюджету</t>
  </si>
  <si>
    <t>Додаток  3.1</t>
  </si>
  <si>
    <t>код бюджету</t>
  </si>
  <si>
    <t>у тому числі за рахунок субвенції з :</t>
  </si>
  <si>
    <t>у тому числі за рахунок залишку субвенції з державного бюджету місцевим бюджетам , станом на 01 січня 2022 року</t>
  </si>
  <si>
    <t>0210160</t>
  </si>
  <si>
    <t>Керівництво і управління у відповідній сфері у містах (місті Києві), селищах, селах, територіальних громадах</t>
  </si>
  <si>
    <t>0215062</t>
  </si>
  <si>
    <t>5062</t>
  </si>
  <si>
    <t>Підтримка спорту вищих досягнень та організацій, які здійснюють фізкультурно-спортивну діяльність в регіоні</t>
  </si>
  <si>
    <t>0216011</t>
  </si>
  <si>
    <t>6011</t>
  </si>
  <si>
    <t>Експлуатація та технічне обслуговування житлового фонду</t>
  </si>
  <si>
    <t>0216020</t>
  </si>
  <si>
    <t>0216082</t>
  </si>
  <si>
    <t>6082</t>
  </si>
  <si>
    <t>Придбання житла для окремих категорій населення відповідно до законодавства</t>
  </si>
  <si>
    <t>0217330</t>
  </si>
  <si>
    <t>0217350</t>
  </si>
  <si>
    <t>0217390</t>
  </si>
  <si>
    <t>7390</t>
  </si>
  <si>
    <t>Розвиток мережі центрів надання адміністративних послуг</t>
  </si>
  <si>
    <t>0217540</t>
  </si>
  <si>
    <t xml:space="preserve">0218220  </t>
  </si>
  <si>
    <t>8220</t>
  </si>
  <si>
    <t>Заходи та роботи з мобілізаційної підготовки місцевого значення</t>
  </si>
  <si>
    <t>0218240</t>
  </si>
  <si>
    <t>Заходи та роботи з територіальної оборони</t>
  </si>
  <si>
    <t>0119730</t>
  </si>
  <si>
    <t>9730</t>
  </si>
  <si>
    <t>Субвенція з місцевого бюджету на фінансове забезпечення будівництва, реконструкції, ремонту і утримання автомобільних доріг загального користування місцевого значення, вулиць і доріг комунальної власності у населених пунктах</t>
  </si>
  <si>
    <t>0119750</t>
  </si>
  <si>
    <t>9750</t>
  </si>
  <si>
    <t>Субвенція з місцевого бюджету на співфінансування інвестиційних проектів</t>
  </si>
  <si>
    <t>0219770</t>
  </si>
  <si>
    <t>0219800</t>
  </si>
  <si>
    <t xml:space="preserve">у тому числі за рахунок субвенції з місцевого бюджету </t>
  </si>
  <si>
    <t>у тому числі за рахунок інших дотацій з місцевого бюджету</t>
  </si>
  <si>
    <t>0611271</t>
  </si>
  <si>
    <t>за рахунок залишку субвенції з місцевого бюджету на надання державної підтримки особам з особливими освітніми потребами за рахунок відповідної субвенції з державного бюджету, станом на 01 січня 2023 року</t>
  </si>
  <si>
    <t>0611251</t>
  </si>
  <si>
    <t>1251</t>
  </si>
  <si>
    <t>Співфінансування заходів, що реалізуються за рахунок субвенції з державного бюджету місцевим бюджетам на придбання шкільних автобусів</t>
  </si>
  <si>
    <t>0611252</t>
  </si>
  <si>
    <t>1252</t>
  </si>
  <si>
    <t>Виконання заходів щодо придбання шкільних автобусів за рахунок субвенції з державного бюджету місцевим бюджетам</t>
  </si>
  <si>
    <t>0617363</t>
  </si>
  <si>
    <t>у тому числі за рахунок залишку субвенції з державного бюджету місцевим бюджетам на здійснення заходів щодо соціально-економічного розвитку окремих територій, станом на 01 січня 2022 року</t>
  </si>
  <si>
    <t>0619750</t>
  </si>
  <si>
    <t>0619770</t>
  </si>
  <si>
    <t>0817363</t>
  </si>
  <si>
    <t>0819750</t>
  </si>
  <si>
    <t>0817381</t>
  </si>
  <si>
    <t>7381</t>
  </si>
  <si>
    <t>Реалізація проектів в рамках Програми з відновлення України</t>
  </si>
  <si>
    <t>0819770</t>
  </si>
  <si>
    <t>1017324</t>
  </si>
  <si>
    <t>7324</t>
  </si>
  <si>
    <r>
      <t>Будівництво</t>
    </r>
    <r>
      <rPr>
        <sz val="12"/>
        <rFont val="Times New Roman"/>
        <family val="1"/>
        <charset val="204"/>
      </rPr>
      <t> установ та закладів культури</t>
    </r>
  </si>
  <si>
    <t>3719750</t>
  </si>
  <si>
    <t>Субвенція із місцевого бюджету на співфінансування інвестиційних проектів</t>
  </si>
  <si>
    <t>Субвенція з місцевого бюджету державному бюджету на виконання програм соціально-економічного розвитку регіонів</t>
  </si>
  <si>
    <t>у тому числі за рахунок залишку коштів субвенцій з державного бюджету</t>
  </si>
  <si>
    <t>БЮДЖЕТ</t>
  </si>
  <si>
    <t>кошти передані</t>
  </si>
  <si>
    <t>СІЧЕНЬ</t>
  </si>
  <si>
    <t>ВСЬОГО</t>
  </si>
  <si>
    <t>а</t>
  </si>
  <si>
    <t>лютий</t>
  </si>
  <si>
    <t>березень</t>
  </si>
  <si>
    <t>1. Виділені кошти за рахунок  залишку коштів, перевиконання та перерозподілу  бюджету Новоукраїнської  міської територіальної громади:</t>
  </si>
  <si>
    <t>І. ПОТОЧНІ ВИДАТКИ</t>
  </si>
  <si>
    <t>1. Загальний фонд</t>
  </si>
  <si>
    <t>Назва установи</t>
  </si>
  <si>
    <t>КПК</t>
  </si>
  <si>
    <t>Пропонується виділити (грн.)</t>
  </si>
  <si>
    <t>Дата та № листа, доповідної записки</t>
  </si>
  <si>
    <t>Примітка</t>
  </si>
  <si>
    <t>Виконком</t>
  </si>
  <si>
    <t>07.09.2023 №3202/01-20</t>
  </si>
  <si>
    <t>Перерозподіл бюджетних призначень в межах виділених річних асигнувань в сумі 10280 грн., перенесення фінансування  з  КПКВ 0210150  КЕКВ 2210 в сумі 6670 грн., КЕКВ 2240 в сумі 547 грн., КЕКВ 2272 в сумі 111 грн., КЕКВ 2273 в сумі 452 грн. та КЕКВ 2275 в сумі 2500 грн., збільшення фінансування у зв'язку з утворенням служби у справах дітей у статусі особи публічного права, ліквідацію та виведення із структури виконавчого комітету та потребою на утримання установи з вересня 2023 року  КЕКВ 2210 в сумі 6670 грн., КЕКВ 2240 в сумі 547 грн., КЕКВ 2272 в сумі 111 грн., КЕКВ 2273 в сумі 452 грн. та КЕКВ 2275 в сумі 2500 грн.</t>
  </si>
  <si>
    <t>25.07.2023 б/н</t>
  </si>
  <si>
    <r>
      <t xml:space="preserve">Додаткові кошти  в сумі 50000 грн. </t>
    </r>
    <r>
      <rPr>
        <b/>
        <sz val="12"/>
        <color indexed="8"/>
        <rFont val="Times New Roman"/>
        <family val="1"/>
        <charset val="204"/>
      </rPr>
      <t>на виплату одноразової грошової допомоги</t>
    </r>
    <r>
      <rPr>
        <sz val="12"/>
        <color indexed="8"/>
        <rFont val="Times New Roman"/>
        <family val="1"/>
        <charset val="204"/>
      </rPr>
      <t xml:space="preserve">  </t>
    </r>
    <r>
      <rPr>
        <b/>
        <sz val="12"/>
        <color indexed="8"/>
        <rFont val="Times New Roman"/>
        <family val="1"/>
        <charset val="204"/>
      </rPr>
      <t xml:space="preserve">Стерпу Анастасії Едуардіївні </t>
    </r>
    <r>
      <rPr>
        <sz val="12"/>
        <color indexed="8"/>
        <rFont val="Times New Roman"/>
        <family val="1"/>
        <charset val="204"/>
      </rPr>
      <t>за перемогу у V літній Гімназіаді України з боксу серед учнів у категорії 57 кг з подальшою участю у Всесвітній літній Гімназіаді з боксу серед учнів, за рахунок перевиконання дохідної частини загального фонду бюджету Новоукраїнської міської територіальної громади станом на 01.07.2023 року, відповідно до офіційного висновку та пункту 22 розділу VI "Прикінцеві та перехідні положення" Бюджетного кодексу України, відповідно до рішення Новоукраїнської міської ради від 25 липня 2022 року № 1189 "Про затвердження розміру та виділення одноразової грошової винагороди" КЕКВ 2730</t>
    </r>
  </si>
  <si>
    <t>16.10.2023        №/01-18/1170/0.5</t>
  </si>
  <si>
    <r>
      <t xml:space="preserve">Перерозподіл бюджетних призначень в межах виділених річних асигнувань  в сумі 80000 грн. перенесення фінансування  на КПКВ 029730 КЕКВ 3220, а саме зменшення фінансування </t>
    </r>
    <r>
      <rPr>
        <b/>
        <sz val="12"/>
        <rFont val="Times New Roman"/>
        <family val="1"/>
        <charset val="204"/>
      </rPr>
      <t xml:space="preserve">на придбання сантехніки та дверей для встановлення у службовому житлі за адресою вул. Героїв рятувальників, 16а, кв.22 </t>
    </r>
    <r>
      <rPr>
        <sz val="12"/>
        <rFont val="Times New Roman"/>
        <family val="1"/>
        <charset val="204"/>
      </rPr>
      <t xml:space="preserve"> КЕКВ 2210</t>
    </r>
  </si>
  <si>
    <r>
      <t xml:space="preserve">Перенести питання щодо виділення додаткових коштів в сумі 150000 грн., </t>
    </r>
    <r>
      <rPr>
        <b/>
        <sz val="12"/>
        <rFont val="Times New Roman"/>
        <family val="1"/>
        <charset val="204"/>
      </rPr>
      <t>для оплати послуг з демонтажу будівлі гуртожитку по вул. Толстого, 11</t>
    </r>
    <r>
      <rPr>
        <sz val="12"/>
        <rFont val="Times New Roman"/>
        <family val="1"/>
        <charset val="204"/>
      </rPr>
      <t xml:space="preserve">, у зв'язку з неможливістю та недоцільністю проведення ремонту будівлі на наступну сесію, після додаткового вивчення  </t>
    </r>
  </si>
  <si>
    <t>29.09.2023 №3544/01-20</t>
  </si>
  <si>
    <r>
      <t xml:space="preserve">Додаткові кошти 50000 грн., відповідно до клопотання головного розпорядника коштів виконавчого комітету Новоукраїнської міської ради </t>
    </r>
    <r>
      <rPr>
        <b/>
        <sz val="12"/>
        <color indexed="8"/>
        <rFont val="Times New Roman"/>
        <family val="1"/>
        <charset val="204"/>
      </rPr>
      <t xml:space="preserve">для  придбання матеріалів, що будуть використані в ремонті центрального водогону для забезпечення надійного функціонування мереж централізованого водопотсачання, своєчасного ремонту та запобігання аваріям, як фінансову підтримку одержувачу коштів виконавчого комітету Новоукраїнської міської ради   КП "Водокомунгосп" </t>
    </r>
    <r>
      <rPr>
        <sz val="12"/>
        <color indexed="8"/>
        <rFont val="Times New Roman"/>
        <family val="1"/>
        <charset val="204"/>
      </rPr>
      <t xml:space="preserve">  КЕКВ 2610, за рахунок перевиконання дохідної частини загального фонду бюджету Новоукраїнської міської територіальної громади станом на 01.10.2023 року, відповідно до офіційного висновку та пункту 22 розділу VI "Прикінцеві та перехідні положення" Бюджетного кодексу України </t>
    </r>
  </si>
  <si>
    <r>
      <t xml:space="preserve">Додаткові кошти в сумі 93000 грн. </t>
    </r>
    <r>
      <rPr>
        <b/>
        <sz val="12"/>
        <rFont val="Times New Roman"/>
        <family val="1"/>
        <charset val="204"/>
      </rPr>
      <t xml:space="preserve">для придбання піщано-гранітної суміші для вирівнювання насипних доріг </t>
    </r>
    <r>
      <rPr>
        <sz val="12"/>
        <rFont val="Times New Roman"/>
        <family val="1"/>
        <charset val="204"/>
      </rPr>
      <t>КЕКВ 2210, за рахунок перевиконання дохідної частини загального фонду бюджету Новоукраїнської міської територіальної громади станом на 01.08.2023 року, відповідно до офіційного висновку та пункту 22 розділу VI "Прикінцеві та перехідні положення" Бюджетного кодексу України</t>
    </r>
  </si>
  <si>
    <t>0216083</t>
  </si>
  <si>
    <t>Додаткові кошти в сумі 50000 грн. для оплати послуг дезинфекції об'єктів благоустрою та інфраструктури для запобігання і ліквідації надзвичайних ситуацій  на виконання програми "Розвиток та удосконалення цивільного захисту населення Новоукраїнської міської об’єднаної  територіальної громади громади" на 2018-2022 роки" для запобігання  поширенню коронавірусної хвороби КЕКВ 2240</t>
  </si>
  <si>
    <t>Перерозподіл бюджетних призначень в межах виділених річних асигнувань в сумі 109800 грн., перенесення фінансування на   КПКВ 0113121  КЕКВ 2111 в сумі 90000 грн. та КЕКВ 2120 в сумі 19800 грн.,  збільшення фінансування на виплату заробітної плати в зв'язку з підвищенням посадового окладу (тарифного розряду) з 1 січня 2020 року  в сумі  90000 грн., КЕКВ 2111 та  нарахування на заробітну плату в сумі 19800 грн. КЕКВ 2120 з інших робіт у сфорі житлово - комунального господарства</t>
  </si>
  <si>
    <t>30.01.2023 б/н</t>
  </si>
  <si>
    <t>25.11.2022     б/н</t>
  </si>
  <si>
    <r>
      <t xml:space="preserve">Додаткові  кошти в сумі 33200 грн. </t>
    </r>
    <r>
      <rPr>
        <b/>
        <sz val="12"/>
        <rFont val="Times New Roman"/>
        <family val="1"/>
        <charset val="204"/>
      </rPr>
      <t xml:space="preserve">на придбання двох буржуйок  з варочною поверхнею та матеріалів для їх встановлення  </t>
    </r>
    <r>
      <rPr>
        <sz val="12"/>
        <rFont val="Times New Roman"/>
        <family val="1"/>
        <charset val="204"/>
      </rPr>
      <t>на виконання програми "Розвиток та удосконалення цивільного захисту населення Новоукраїнської міської  територіальної громади громади на 2018-2025 роки" в т.ч. в умовах воєнного стану для забезпечення роботи пунктів обігріву та об'єктів критичної інфраструктури  КЕКВ  2210</t>
    </r>
  </si>
  <si>
    <t>Додаткові  кошти в сумі 5200 грн. на придбання чотирьох вогнегасників  порошкових на виконання програми "Розвиток та удосконалення цивільного захисту населення Новоукраїнської міської  територіальної громади громади на 2018-2025 роки" в т.ч. в умовах воєнного стану для забезпечення роботи пунктів обігріву та об'єктів критичної інфраструктури КЕКВ  2210</t>
  </si>
  <si>
    <t>0218220</t>
  </si>
  <si>
    <t>15.09.2022     №4849</t>
  </si>
  <si>
    <t>Додаткові  кошти  для забезпечення призову на строкову військову службу та мобілізації громадян територіальної громади  в 2022 році на загальну  суму 10000 грн. (Матеріальне забезпечення заходів   Новоукраїнського районного територіального центру комплектування та соціальної підтримки для організації підготовки та проведення мобілізації в т.ч. в умовах воєнного стану, придбання канцтоварів та ін.)  відповідно до клопотання Новоукраїнського районного територіального центру комплектування та соціальної підтримки для організації підготовки та проведення мобілізації  та затвердженої міської  програми  "Призовник"  КЕКВ 2210,  за рахунок перевиконання дохідної частини загального фонду бюджету Новоукраїнської міської територіальної громади станом на 01.09.2022 року, відповідно до офіційного висновку та статті 22 розділу VI "Прикінцеві та перехідні положення" Бюджетного кодексу України</t>
  </si>
  <si>
    <t>22.04.2022     №01-26/106/1</t>
  </si>
  <si>
    <r>
      <t>Додаткові кошти в сумі 205000 грн.,</t>
    </r>
    <r>
      <rPr>
        <b/>
        <sz val="12"/>
        <rFont val="Times New Roman"/>
        <family val="1"/>
        <charset val="204"/>
      </rPr>
      <t xml:space="preserve"> </t>
    </r>
    <r>
      <rPr>
        <sz val="12"/>
        <rFont val="Times New Roman"/>
        <family val="1"/>
        <charset val="204"/>
      </rPr>
      <t xml:space="preserve">за рахунок субвенції від Добровеличківської СТГ, </t>
    </r>
    <r>
      <rPr>
        <b/>
        <sz val="12"/>
        <rFont val="Times New Roman"/>
        <family val="1"/>
        <charset val="204"/>
      </rPr>
      <t xml:space="preserve">на  співфінансування </t>
    </r>
    <r>
      <rPr>
        <sz val="12"/>
        <rFont val="Times New Roman"/>
        <family val="1"/>
        <charset val="204"/>
      </rPr>
      <t xml:space="preserve"> послуг та  поточного ремонту даху приміщення філії №2 Новоукраїнського МПК "Ювілейний" за адресою м.Новоукраїнка, вул.Піщанобрідська, 50, для підготовки приміщення для потреб територіальної оборони та розміщення військової частини, відповідно до розпорядження начальника Новоукраїнської районної військової адміністрації та рішення Добровеличківської СТГ КЕКВ 2240</t>
    </r>
  </si>
  <si>
    <t>19.04.2022     №01-26/101/1</t>
  </si>
  <si>
    <r>
      <t>Додаткові кошти в сумі 108000 грн.,</t>
    </r>
    <r>
      <rPr>
        <b/>
        <sz val="12"/>
        <rFont val="Times New Roman"/>
        <family val="1"/>
        <charset val="204"/>
      </rPr>
      <t xml:space="preserve"> </t>
    </r>
    <r>
      <rPr>
        <sz val="12"/>
        <rFont val="Times New Roman"/>
        <family val="1"/>
        <charset val="204"/>
      </rPr>
      <t xml:space="preserve">за рахунок субвенції від Помічнянської МТГ, </t>
    </r>
    <r>
      <rPr>
        <b/>
        <sz val="12"/>
        <rFont val="Times New Roman"/>
        <family val="1"/>
        <charset val="204"/>
      </rPr>
      <t xml:space="preserve">на  співфінансування </t>
    </r>
    <r>
      <rPr>
        <sz val="12"/>
        <rFont val="Times New Roman"/>
        <family val="1"/>
        <charset val="204"/>
      </rPr>
      <t xml:space="preserve"> послуг та  поточного ремонту приміщення філії №2 Новоукраїнського МПК "Ювілейний" за адресою м.Новоукраїнка, вул.Піщанобрідська, 50, для підготовки приміщення для потреб територіальної оборони та розміщення військової частини, відповідно до розпорядження начальника Новоукраїнської районної військової адміністрації та рішення Помічнянської МТГ КЕКВ 2240</t>
    </r>
  </si>
  <si>
    <r>
      <t>Додаткові кошти в сумі 1000 грн.,</t>
    </r>
    <r>
      <rPr>
        <b/>
        <sz val="12"/>
        <rFont val="Times New Roman"/>
        <family val="1"/>
        <charset val="204"/>
      </rPr>
      <t xml:space="preserve"> </t>
    </r>
    <r>
      <rPr>
        <sz val="12"/>
        <rFont val="Times New Roman"/>
        <family val="1"/>
        <charset val="204"/>
      </rPr>
      <t xml:space="preserve">за рахунок субвенції від Глодоської СТГ, </t>
    </r>
    <r>
      <rPr>
        <b/>
        <sz val="12"/>
        <rFont val="Times New Roman"/>
        <family val="1"/>
        <charset val="204"/>
      </rPr>
      <t xml:space="preserve">на  співфінансування </t>
    </r>
    <r>
      <rPr>
        <sz val="12"/>
        <rFont val="Times New Roman"/>
        <family val="1"/>
        <charset val="204"/>
      </rPr>
      <t xml:space="preserve"> </t>
    </r>
    <r>
      <rPr>
        <b/>
        <sz val="12"/>
        <rFont val="Times New Roman"/>
        <family val="1"/>
        <charset val="204"/>
      </rPr>
      <t>послуг та  поточного ремонту  приміщення філії №2 Новоукраїнського МПК "Ювілейний"</t>
    </r>
    <r>
      <rPr>
        <sz val="12"/>
        <rFont val="Times New Roman"/>
        <family val="1"/>
        <charset val="204"/>
      </rPr>
      <t xml:space="preserve"> за адресою м.Новоукраїнка, вул.Піщанобрідська, 50, для підготовки приміщення для потреб територіальної оборони та розміщення військової частини, відповідно до листа начальника Новоукраїнської районної військової адміністрації та рішення Глодоської СТГ КЕКВ 2240</t>
    </r>
  </si>
  <si>
    <r>
      <t>Додаткові кошти в сумі 23750 грн.,</t>
    </r>
    <r>
      <rPr>
        <b/>
        <sz val="12"/>
        <rFont val="Times New Roman"/>
        <family val="1"/>
        <charset val="204"/>
      </rPr>
      <t xml:space="preserve"> </t>
    </r>
    <r>
      <rPr>
        <sz val="12"/>
        <rFont val="Times New Roman"/>
        <family val="1"/>
        <charset val="204"/>
      </rPr>
      <t xml:space="preserve">за рахунок субвенції від Глодоської СТГ, </t>
    </r>
    <r>
      <rPr>
        <b/>
        <sz val="12"/>
        <rFont val="Times New Roman"/>
        <family val="1"/>
        <charset val="204"/>
      </rPr>
      <t xml:space="preserve">на  співфінансування </t>
    </r>
    <r>
      <rPr>
        <sz val="12"/>
        <rFont val="Times New Roman"/>
        <family val="1"/>
        <charset val="204"/>
      </rPr>
      <t xml:space="preserve"> </t>
    </r>
    <r>
      <rPr>
        <b/>
        <sz val="12"/>
        <rFont val="Times New Roman"/>
        <family val="1"/>
        <charset val="204"/>
      </rPr>
      <t>послуг та  поточного ремонту  приміщення філії №2 Новоукраїнського МПК "Ювілейний" з</t>
    </r>
    <r>
      <rPr>
        <sz val="12"/>
        <rFont val="Times New Roman"/>
        <family val="1"/>
        <charset val="204"/>
      </rPr>
      <t>а адресою м.Новоукраїнка, вул.Піщанобрідська, 50, для підготовки приміщення для потреб територіальної оборони та розміщення військової частини, відповідно до листа начальника Новоукраїнської районної військової адміністрації та рішення Глодоської СТГ КЕКВ 2240</t>
    </r>
  </si>
  <si>
    <r>
      <t>Додаткові кошти в сумі 101000 грн.,</t>
    </r>
    <r>
      <rPr>
        <b/>
        <sz val="12"/>
        <rFont val="Times New Roman"/>
        <family val="1"/>
        <charset val="204"/>
      </rPr>
      <t xml:space="preserve"> </t>
    </r>
    <r>
      <rPr>
        <sz val="12"/>
        <rFont val="Times New Roman"/>
        <family val="1"/>
        <charset val="204"/>
      </rPr>
      <t xml:space="preserve">за рахунок субвенції від Смолінської СТГ, </t>
    </r>
    <r>
      <rPr>
        <b/>
        <sz val="12"/>
        <rFont val="Times New Roman"/>
        <family val="1"/>
        <charset val="204"/>
      </rPr>
      <t xml:space="preserve">на  співфінансування </t>
    </r>
    <r>
      <rPr>
        <sz val="12"/>
        <rFont val="Times New Roman"/>
        <family val="1"/>
        <charset val="204"/>
      </rPr>
      <t xml:space="preserve"> послуг та  поточного ремонту приміщення філії №2 Новоукраїнського МПК "Ювілейний" за адресою м.Новоукраїнка, вул.Піщанобрідська, 50, для підготовки приміщення для потреб територіальної оборони та розміщення військової частини, відповідно до листа начальника Новоукраїнської районної військової адміністрації та рішення Смолінської СТГ КЕКВ 2240</t>
    </r>
  </si>
  <si>
    <t xml:space="preserve">Відділ освіти  </t>
  </si>
  <si>
    <t xml:space="preserve">0611010 </t>
  </si>
  <si>
    <t xml:space="preserve">0611021 </t>
  </si>
  <si>
    <t xml:space="preserve">Відділ освіти </t>
  </si>
  <si>
    <t xml:space="preserve">0611070 </t>
  </si>
  <si>
    <t xml:space="preserve">0611141 </t>
  </si>
  <si>
    <t>09.10.2023     №01-14/548</t>
  </si>
  <si>
    <r>
      <t xml:space="preserve">Додаткові кошти  в сумі 17451 грн., а саме на співфінансування в розмірі 10% з бюджету Новоукраїнської  міської  територіальної громади </t>
    </r>
    <r>
      <rPr>
        <b/>
        <sz val="12"/>
        <rFont val="Times New Roman"/>
        <family val="1"/>
        <charset val="204"/>
      </rPr>
      <t xml:space="preserve">для придбання  засобів навчанняа  для   закладів загальної середньої освіти  Новоукраїнської  міської ради </t>
    </r>
    <r>
      <rPr>
        <sz val="12"/>
        <rFont val="Times New Roman"/>
        <family val="1"/>
        <charset val="204"/>
      </rPr>
      <t>КЕКВ 2210 ,  відповідно до розпорядження начальника Кіровоградської обласної військової адміністрації від 05 жовтня 2023 року №1149-р "</t>
    </r>
  </si>
  <si>
    <t>18.10.2023     №01-14/578</t>
  </si>
  <si>
    <t>Перерозподіл бюджетних призначень в межах виділених річних асигнувань в сумі 6200 грн., перенесення фінансування  з КПКВ 0611152 КЕКВ 2111,  за рахунок збільшення коштів на виплату  нарахування на заробітну плату КЕКВ 2120</t>
  </si>
  <si>
    <t xml:space="preserve">Управління соцзахисту та охорони здоров'я  </t>
  </si>
  <si>
    <t>12.12.2023        №155/01-29</t>
  </si>
  <si>
    <t xml:space="preserve"> Перерозподіл бюджетних призначень в межах виділених річних асигнувань в сумі 13099,42 грн. перенесення фінансування  на КПКВ 0812010 КЕКВ 2610, збільшення фінансування на інші виплати населенню  КНП "Новоукраїнська  міська лікарня"на виконання Програми місцевих стимулів для медичних працівників Новоукраїнської міської територіальної громади на 2021-2025 роки (нова редакція), як одержувачу коштів управління соціального захисту та охорони здоров'я  Новоукраїнської міської ради КЕКВ 2610</t>
  </si>
  <si>
    <t>06.07.2023        №82/01-29</t>
  </si>
  <si>
    <t xml:space="preserve"> Перерозподіл бюджетних призначень в межах виділених річних асигнувань в сумі 100000 грн. перенесення фінансування  з КПКВ 0812010 КЕКВ 2610, збільшення фінансування на придбання предметів, матеріалів, обладанння та інвентарю (комплект обладнання для очистки та пом'якшення води  КНП "Новоукраїнська  міська лікарня", як одержувачу коштів управління соціального захисту та охорони здоров'я  Новоукраїнської міської ради КЕКВ 2610</t>
  </si>
  <si>
    <r>
      <t xml:space="preserve">Додаткові кошти в сумі 18300 грн. </t>
    </r>
    <r>
      <rPr>
        <b/>
        <sz val="12"/>
        <rFont val="Times New Roman"/>
        <family val="1"/>
        <charset val="204"/>
      </rPr>
      <t>на придбання медикаментів (туберкуліну) КНП "Центр первинної медико-санітарної допомоги"</t>
    </r>
    <r>
      <rPr>
        <sz val="12"/>
        <rFont val="Times New Roman"/>
        <family val="1"/>
        <charset val="204"/>
      </rPr>
      <t>,  як одержувачу коштів управління соціального захисту та охорони здоров'я  Новоукраїнської міської ради, за рахунок перевиконання дохідної частини загального фонду бюджету Новоукраїнської міської територіальної громади станом на 01.10.2022 року, відповідно до офіційного висновку та статті 22 розділу VI "Прикінцеві та перехідні положення" Бюджетного кодексу України  КНП "Новоукраїнська  міська лікарня",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</si>
  <si>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1100 грн. перенесення фінансування  з КПКВ 0812111 КЕКВ 2610, зменшення фінансування  </t>
    </r>
    <r>
      <rPr>
        <b/>
        <sz val="12"/>
        <rFont val="Times New Roman"/>
        <family val="1"/>
        <charset val="204"/>
      </rPr>
      <t>на продукти харчування,</t>
    </r>
    <r>
      <rPr>
        <sz val="12"/>
        <rFont val="Times New Roman"/>
        <family val="1"/>
        <charset val="204"/>
      </rPr>
      <t xml:space="preserve"> співфінансування за рахунок субвенції з бюджету </t>
    </r>
    <r>
      <rPr>
        <b/>
        <sz val="12"/>
        <rFont val="Times New Roman"/>
        <family val="1"/>
        <charset val="204"/>
      </rPr>
      <t xml:space="preserve"> Глодоської сільської територіальної громади </t>
    </r>
    <r>
      <rPr>
        <sz val="12"/>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</si>
  <si>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Відділ культури</t>
  </si>
  <si>
    <t>31.10.2023        №173/01-20</t>
  </si>
  <si>
    <t>Перерозподіл бюджетних призначень в межах виділених річних асигнувань в сумі 43920 грн.,   перенесення фінансування  на КПКВ 1014081 в сумі  36000 грн. КЕКВ 2111, в сумі 7920 грн. КЕКВ 2120, зменшення фінансування для виплати заробітної плати  працівникам відділу культури та туризму в сумі  36000 грн., КЕКВ 2111 та  нарахування на заробітну плату в сумі 7920 грн. КЕКВ 2120</t>
  </si>
  <si>
    <t>Фінансове управління</t>
  </si>
  <si>
    <t>31.01.2022 б/н</t>
  </si>
  <si>
    <t>Субвенція з бюджету Новоукраїнської  міської територіальної громади державному бюджету на виконання програм соціально-економічного розвитку регіоні для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на виконання у 2022 році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2018-2025 роки, як установі, що фінансується з державного бюджету,   за рахунок вільного залишку коштів станом на 01.01.2022 року КЕКВ 2620</t>
  </si>
  <si>
    <t>Субвенція з бюджету Новоукраїнської  міської територіальної громади  державному бюджету на виконання програм соціально-економічного розвитку регіоні для  4 державного пожежно-рятувального загону  ГУ ДСНС України у Кіровоградській області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об’єднаної територіальної громади на 2028-2023 роки" для придбання паливо-мастильних матеріалів для 4 державного пожежно-рятувального загону в сумі 10000 грн.,  як установі, що фінансується з державного бюджету,  за рахунок вільного залишку коштів станом на 01.01.2022 року КЕКВ 2620</t>
  </si>
  <si>
    <t>Всього</t>
  </si>
  <si>
    <t>ІІ. КАПІТАЛЬНІ ВИДАТКИ</t>
  </si>
  <si>
    <t>10.11.2020 б/н</t>
  </si>
  <si>
    <t>Додаткові кошти  в сумі 150000 грн. для забезпечення житлом дітей-сиріт, осіб з їх числа,  співфінансування з бюджету Новоукраїнської  міської територіальної громади,  за рахунок вільного залишку коштів станом  на 01 січня 2022 року (кошти передані) КЕКВ 3220</t>
  </si>
  <si>
    <t>04.07.2023        №957 та 04.07.2023        №80/01-29</t>
  </si>
  <si>
    <t>01.02.2022 б/н</t>
  </si>
  <si>
    <r>
      <t xml:space="preserve">Додаткові кошти в сумі 98175 грн., за рахунок  вільного залишку коштів загального фонду бюджету Новоукраїнської  міської територіальної громади станом на 01.01.2022 року, </t>
    </r>
    <r>
      <rPr>
        <b/>
        <sz val="12"/>
        <rFont val="Times New Roman"/>
        <family val="1"/>
        <charset val="204"/>
      </rPr>
      <t xml:space="preserve">для оплати додаткових робіт, які не були передбачені технічним завдання, з виготовлення проектно-кошторисної документації </t>
    </r>
    <r>
      <rPr>
        <sz val="12"/>
        <rFont val="Times New Roman"/>
        <family val="1"/>
        <charset val="204"/>
      </rPr>
      <t xml:space="preserve"> по об'єкту "Реконструкція центрального міського стадіону та адміністративної будівлі дитячо-юнацької спортивної школи Новоукраїнської міської ради за адресою:  Кіровоградська область, м. Новоукраїнка, вул. О.Гіталова, 13/74", що буде виконуватись за рахунок субвенції з державного бюджету (кошти передані) КЕКВ 3142</t>
    </r>
  </si>
  <si>
    <r>
      <t xml:space="preserve">Додаткові кошти в сумі 198891 грн., за рахунок  вільного залишку коштів загального фонду бюджету Новоукраїнської  міської територіальної громади станом на 01.01.2022 року,  </t>
    </r>
    <r>
      <rPr>
        <b/>
        <sz val="12"/>
        <rFont val="Times New Roman"/>
        <family val="1"/>
        <charset val="204"/>
      </rPr>
      <t xml:space="preserve">для виготовлення проектно-кошторисної документації </t>
    </r>
    <r>
      <rPr>
        <sz val="12"/>
        <rFont val="Times New Roman"/>
        <family val="1"/>
        <charset val="204"/>
      </rPr>
      <t xml:space="preserve">  по об'єкту "Реконструкція центрального міського стадіону та адміністративної будівлі дитячо-юнацької спортивної школи Новоукраїнської міської ради за адресою:  Кіровоградська область, м. Новоукраїнка, вул. О.Гіталова, 13/74", що буде виконуватись за рахунок субвенції з державного бюджету (кошти передані) КЕКВ 3142 (кошти виділено та не використано у 2021 році, у зв'язку з затримкою виготовлення проектно-кошторисної документації та експертизи)</t>
    </r>
  </si>
  <si>
    <r>
      <t xml:space="preserve">Додаткові кошти в сумі 49000 грн.  </t>
    </r>
    <r>
      <rPr>
        <b/>
        <sz val="12"/>
        <rFont val="Times New Roman"/>
        <family val="1"/>
        <charset val="204"/>
      </rPr>
      <t>для виготовлення проектно-кошторисної документації приєднання будівель розташованих на міському стадіоні до електричної мережі</t>
    </r>
    <r>
      <rPr>
        <sz val="12"/>
        <rFont val="Times New Roman"/>
        <family val="1"/>
        <charset val="204"/>
      </rPr>
      <t xml:space="preserve">  по проекту "Реконструкція центрального міського стадіону та адміністративної будівлі дитячо-юнацької спортивної школи Новоукраїнської міської ради за адресою:  Кіровоградська область, м. Новоукраїнка, вул. О.Гіталова, 13/74", що буде виконуватись за рахунок субвенції з державного бюджету (кошти передані) КЕКВ 3142</t>
    </r>
  </si>
  <si>
    <r>
      <t xml:space="preserve">Додаткові кошти в сумі 49000 грн.  </t>
    </r>
    <r>
      <rPr>
        <b/>
        <sz val="12"/>
        <rFont val="Times New Roman"/>
        <family val="1"/>
        <charset val="204"/>
      </rPr>
      <t>для геодезичних робіт</t>
    </r>
    <r>
      <rPr>
        <sz val="12"/>
        <rFont val="Times New Roman"/>
        <family val="1"/>
        <charset val="204"/>
      </rPr>
      <t xml:space="preserve"> по проекту "Реконструкція центрального міського стадіону та адміністративної будівлі дитячо-юнацької спортивної школи Новоукраїнської міської ради за адресою:  Кіровоградська область, м. Новоукраїнка, вул. О.Гіталова, 13/74", що буде виконуватись за рахунок субвенції з державного бюджету (кошти передані) КЕКВ 3142</t>
    </r>
  </si>
  <si>
    <r>
      <t xml:space="preserve">Перерозподіл бюджетних призначень в межах виділених річних асигнувань  в сумі 780785 грн. перенесення фінансування  на КПКВ 029730 КЕКВ 3220, а саме зменшення фінансування  </t>
    </r>
    <r>
      <rPr>
        <b/>
        <sz val="12"/>
        <rFont val="Times New Roman"/>
        <family val="1"/>
        <charset val="204"/>
      </rPr>
      <t xml:space="preserve"> на  перерахунок проектно-кошторисної документації  з врахуванням технологічних розрахунків встановлення КНС та каналізаційних мереж, зведення підпірної стіни та перехідного пандусу, а  також організації водовідведення з території парку по проекту "Реконструкція території парку з поліпшеною інфраструктурою для бізнесу та громадян в м. Новоукраїнка "Сквер на Соборній",</t>
    </r>
    <r>
      <rPr>
        <sz val="12"/>
        <rFont val="Times New Roman"/>
        <family val="1"/>
        <charset val="204"/>
      </rPr>
      <t xml:space="preserve"> який реалізовувався у 2020 -2022 роках  за рахунок коштів бюджету   Новоукраїнської  міської  територіальної громади, коштів  Програми МТД DOBRE та інших не заборонених законодавством коштів та є перехідним на 2023  рік КЕКВ 3142</t>
    </r>
  </si>
  <si>
    <t>18.01.2021 б/н</t>
  </si>
  <si>
    <t xml:space="preserve"> збільшення фінансування на  реалізацію проекту "Капітальний ремонт вул. Гагаріна від вул. В. Демченка до вул. Покровської у м. Новоукраїнка  Кіровоградської області" КЕКВ 3132</t>
  </si>
  <si>
    <t>0219730</t>
  </si>
  <si>
    <t>14.12.2023        №/01-18/1409/0.5</t>
  </si>
  <si>
    <t xml:space="preserve">Установити, що не використані на кінець 2023 року залишки коштів за субвенцією,  наданою обласному бюджету Кіровоградської області на співфінансування об'єкта "Капітальний ремонт дорожнього покриття по вул. Миру в м.Новоукраїнка до с. Звірівка Новоукраїнського району Кіровоградської області" в сумі 14720053 грн., залишаються на його рахунку для здійснення відповідних витрат у 2024 році з урахуванням їх цільового призначення, згідно з пунктом 13 постанови Кабінету Міністрів України від 15 грудня 2010 року № 1132. Надати право міському голові укласти додаткову угоду щодо збереження залишків коштів субвенції на рахунку обласного бюджету для здійснення відповідних витрат у 2024 році з урахуванням їх цільового призначення. </t>
  </si>
  <si>
    <t xml:space="preserve">Додаткові кошти  в сумі 4572212 грн., на субвенцію обласному бюджету для співфінансування об'єкту "Капітальний ремонт дорожнього покриття по вул. Миру в м.Новоукраїнка до с. Звірівка Новоукраїнського району Кіровоградської області", що буде виконуватись за рахунок залишку коштів субвенції з державного бюджету місцевим бюджетам на фінансове забезпечення будівництва, реконструкції, ремонту і утримання автомобільних доріг загального користування місцевого значення і доріг комунальної власності у населених пунктах, що утворився станом  на 01 січня 2023 року, згідно  листа Кіровоградської обласної військової адміністрації від 16.10.2023 року № 01-18/1170/0.5, за рахунок перевиконання дохідної частини загального фонду бюджету Новоукраїнської міської територіальної громади станом на 01.11.2023 року, відповідно до офіційного висновку та пункту 22 розділу VI "Прикінцеві та перехідні положення" Бюджетного кодексу України  КЕКВ 3220 </t>
  </si>
  <si>
    <r>
      <t xml:space="preserve">Перерозподіл бюджетних призначень в межах виділених річних асигнувань в сумі 72000 грн.,  перенесення фінансування  на КПКВ 0218110 КЕКВ 2210, а саме зменшення фінансування  </t>
    </r>
    <r>
      <rPr>
        <b/>
        <sz val="12"/>
        <rFont val="Times New Roman"/>
        <family val="1"/>
        <charset val="204"/>
      </rPr>
      <t xml:space="preserve">на придбання генераторів </t>
    </r>
    <r>
      <rPr>
        <sz val="12"/>
        <rFont val="Times New Roman"/>
        <family val="1"/>
        <charset val="204"/>
      </rPr>
      <t>на виконання програми "Розвиток та удосконалення цивільного захисту населення Новоукраїнської міської  територіальної громади громади на 2018-2025 роки", вартість яких менша ніж 20000 грн.   КЕКВ 3110</t>
    </r>
  </si>
  <si>
    <t>23.11.2022        №114</t>
  </si>
  <si>
    <r>
      <t>Перерозподіл бюджетних призначень в межах виділених річних асигнувань в сумі 1370000 грн.,  перенесення фінансування  з КПКВ 0217461  КЕКВ 2240 в сумі 747698 грн., а саме збільшення фінансування н</t>
    </r>
    <r>
      <rPr>
        <b/>
        <sz val="12"/>
        <rFont val="Times New Roman"/>
        <family val="1"/>
        <charset val="204"/>
      </rPr>
      <t>а придбання чотирьох трифазних дизельних генераторів та комлектуючих до них</t>
    </r>
    <r>
      <rPr>
        <sz val="12"/>
        <rFont val="Times New Roman"/>
        <family val="1"/>
        <charset val="204"/>
      </rPr>
      <t xml:space="preserve">, у зв'язку з необхідністю і для безперебійного забезпечення водопостачанням населення міста в період планових відключень електроенергії та на випадок блекауту в країні для КП "Водокомунгосп" (забезпечення електроенергією об'єктів водопостачання артезіанських свердловин та насосних станцій) на виконання програми "Розвиток та удосконалення цивільного захисту населення Новоукраїнської міської  територіальної громади громади на 2018-2025 роки" та в сумі 492302 грн. за рахунок перевиконання дохідної частини загального фонду бюджету Новоукраїнської міської територіальної громади станом на 01.11.2022 року, відповідно до офіційного висновку та статті 22 розділу VI "Прикінцеві та перехідні положення" Бюджетного кодексу України та в сумі 130000 грн. за рахунок спеціального фонду бюджету Новоукраїнської міської територіальної громади   КЕКВ 3110 </t>
    </r>
  </si>
  <si>
    <t>20.12.2023          № 01-18/1430/0.1</t>
  </si>
  <si>
    <t>Перерозподіл субвенції державному бюджету на виконання програм соціально-економічного розвитку регіонів з бюджету Новоукраїнської міської територіальної громади, виділеної відповідно до листа Кіровоградської обласної військової адміністрації № 01-18/1299/0.1 від 17 листопада 2023 року та рішення ради оборони Кіровоградської області №12 від 15 листопада 2023 року для військової частини для забезпечення автомобільною технікою, як установі, що фінансується з державного бюджету,  у сумі 750000 грн., перенесення фінансування на КПКВ 0219770 КЕКВ 3220, а саме зменшшення за капітальними видатками, відповідно до листа Кіровоградської обласної військової адміністрації № 01-18/1430/0.1 від 20 грудня 2023 року на придбання спеціальної комунальної техніки  з метою виконання заходів воєнного стану, у тому числі шляхом надання субвенції обласному бюджету. Установити, що не використані на кінець 2023 року залишки коштів за субвенцією,  наданою обласному бюджету Кіровоградської області залишаються на його рахунку для здійснення відповідних витрат у 2024 році з урахуванням їх цільового призначення, згідно з пунктом 13 постанови Кабінету Міністрів України від 15 грудня 2010 року № 1132  КЕКВ 3220</t>
  </si>
  <si>
    <t xml:space="preserve">0617363 </t>
  </si>
  <si>
    <t xml:space="preserve">0617321 </t>
  </si>
  <si>
    <t>01.06.2023     №01-14/256</t>
  </si>
  <si>
    <r>
      <t xml:space="preserve">Перерозподіл бюджетних призначень в межах виділених річних асигнувань  в сумі 20000 грн., перенесення фінансування  на КПКВ 0619770 КЕКВ 3220, а саме зменшення фінансування  згідно рішення сесії Новоукраїнської міської ради від 16 травня 2023 року № 1111 </t>
    </r>
    <r>
      <rPr>
        <b/>
        <sz val="12"/>
        <rFont val="Times New Roman"/>
        <family val="1"/>
        <charset val="204"/>
      </rPr>
      <t xml:space="preserve">на виконання вишукувальних  геодезичних робіт по проекту   "Нове будівництво сховища на 200 осіб у Новоукраїнському ліцеї №6 Новоукраїнської міської ради за адресою: Кіровоградська область, м. Новоукраїнка, вул. Соборна, 75/3", </t>
    </r>
    <r>
      <rPr>
        <sz val="12"/>
        <rFont val="Times New Roman"/>
        <family val="1"/>
        <charset val="204"/>
      </rPr>
      <t>за рахунок перевиконання дохідної частини загального фонду бюджету Новоукраїнської міської територіальної громади станом на 01.05.2023 року, відповідно до офіційного висновку та пункту 22 розділу VI "Прикінцеві та перехідні положення" Бюджетного кодексу України КЕКВ 3122</t>
    </r>
  </si>
  <si>
    <t xml:space="preserve">0619750 </t>
  </si>
  <si>
    <t>14.12.2023     №64-20/1219/0.641</t>
  </si>
  <si>
    <t xml:space="preserve">Установити, що не використані на кінець 2023 року залишки коштів за субвенцією,  наданою обласному бюджету Кіровоградської області на співфінансування об'єкта "Реконструкція будівлі Новоукраїнського ліцею № 6 Кіровоградської області з улаштуванням захисної споруди цивільного захисту за адресою: Кіровоградська  область м. Новоукраїнка, вул. Соборна, 75/3" (з виготовленням проектно-кошторисної документації)  в сумі 620000 грн., залишаються на його рахунку для здійснення відповідних витрат у 2024 році з урахуванням їх цільового призначення, згідно з пунктом 13 постанови Кабінету Міністрів України від 15 грудня 2010 року № 1132. Надати право міському голові укласти додаткову угоду щодо збереження залишків коштів субвенції на рахунку обласного бюджету для здійснення відповідних витрат у 2024 році з урахуванням їх цільового призначення. </t>
  </si>
  <si>
    <t>Субвенція обласному бюджету Кіровоградської області  в сумі 235000 грн., на співфінансування в розмірі 10% з бюджету Новоукраїнської  міської  територіальної громади на виконання проєкту "Реконструкція будівлі Новоукраїнського ліцею № 6 Кіровоградської області з улаштуванням захисної споруди цивільного захисту за адресою: Кіровоградська  область м. Новоукраїнка, вул. Соборна, 75/3" (з виготовленням проектно-кошторисної документації), фінансування якого передбачається в сумі 5580000 гривень (90%) за рахунок коштів субвенції з державного бюджету місцевим бюджетам на облаштування безпечних умов у закладах загальної середньої освіти та у сумі 620 000 гривень співфінансування в розмірі 10% з бюджету Новоукраїнської  міської  територіальної громади, відповідно до  постанови Кабінету Міністрів від 28.04.2023 року № 419 "Деякі питання надання субвенції з державного бюджету місцевим бюджетам на облаштування безпечних умов у закладах загальної середньої освіти", розпорядження начальника Кіровоградської обласної військової адміністрації від 26 травня 2023 року №566-р "Про затвердження переліку проєктів та розподілу обсягу субвенції з державного бюджету місцевим бюджетам на облаштування безпечних умов у закладах загальної середньої освіти області", за рахунок залишку коштів бюджету розвитку Новоукраїнської міської територіальної громади станом на 01.01.2023 року, відповідно до офіційного висновку  КЕКВ 3142</t>
  </si>
  <si>
    <t>10.01.2022     №01-14/6</t>
  </si>
  <si>
    <r>
      <t xml:space="preserve">Додаткові кошти в сумі 45000 грн., за рахунок  вільного залишку коштів загального фонду бюджету Новоукраїнської  міської територіальної громади станом на 01.01.2022 року,   </t>
    </r>
    <r>
      <rPr>
        <b/>
        <sz val="12"/>
        <rFont val="Times New Roman"/>
        <family val="1"/>
        <charset val="204"/>
      </rPr>
      <t>на виконання вишукувальних  геодезичних робіт по проекту   "Реконструкція частини спортивної площадки під баскетбольний майданчик на території Новоукраїнського ліцею №4 Новоукраїнської міської ради за адресою: вул. Толстого, 7 а, м. Новоукраїнка Новоукраїнського району Кіровоградської області" КЕКВ 3142 (кошти передані)</t>
    </r>
  </si>
  <si>
    <t>30.01.2023     №01-14/41</t>
  </si>
  <si>
    <r>
      <t>Додаткові кошти  в сумі 986818 грн., за рахунок залишку субвенції з державного бюджету місцевим бюджетам на здійснення заходів щодо соціально-економічного розвитку окремих територій, станом на 01 січня 2023 року, згідно розпорядження КМУ від 23.12.2021 року №1693-р, виділених на реалізацію  проекту "</t>
    </r>
    <r>
      <rPr>
        <b/>
        <sz val="12"/>
        <color indexed="8"/>
        <rFont val="Times New Roman"/>
        <family val="1"/>
        <charset val="204"/>
      </rPr>
      <t>Капітальний ремонт (часткова заміна вікон) у Новоукраїнському ліцеї №4 за адресою: Кіровоградська область, м. Новоукраїнка, вул. Толстого, 7а</t>
    </r>
    <r>
      <rPr>
        <sz val="12"/>
        <color indexed="8"/>
        <rFont val="Times New Roman"/>
        <family val="1"/>
        <charset val="204"/>
      </rPr>
      <t xml:space="preserve">",  збільшення фінансування  на виконання </t>
    </r>
    <r>
      <rPr>
        <b/>
        <sz val="12"/>
        <color indexed="8"/>
        <rFont val="Times New Roman"/>
        <family val="1"/>
        <charset val="204"/>
      </rPr>
      <t>поточного ремонту підвального приміщення (найпростіше укриття) Новоукраїнського ліцею №4 Новоукраїнської міської ради за адресою: м. Новоукраїнка вул.. Толстого, 7А, що виконувався у 2022 році та перейшов вільними лишками на 2023 рік</t>
    </r>
    <r>
      <rPr>
        <sz val="12"/>
        <color indexed="8"/>
        <rFont val="Times New Roman"/>
        <family val="1"/>
        <charset val="204"/>
      </rPr>
      <t>, у зв'язку з нагальною потребою облаштування укриття  відповідно до  статті 22</t>
    </r>
    <r>
      <rPr>
        <vertAlign val="superscript"/>
        <sz val="12"/>
        <color indexed="8"/>
        <rFont val="Times New Roman"/>
        <family val="1"/>
        <charset val="204"/>
      </rPr>
      <t>2</t>
    </r>
    <r>
      <rPr>
        <sz val="12"/>
        <color indexed="8"/>
        <rFont val="Times New Roman"/>
        <family val="1"/>
        <charset val="204"/>
      </rPr>
      <t xml:space="preserve"> розділу VI "Прикінцеві та перехідні положення" Бюджетного кодексу України, а також, як виняток з положень частини четвертої статті 103-2 і частини четвертої статті 103-3 цього Кодексу та пункту 11 розділу "Прикінцеві положення" Закону України "Про Державний бюджет України на 2021 рік"  та розпорядження начальника Новоукраїнської районної військової адміністрації від 21.10.2022 року   №132-р на оплату інших заходів, спрямованих на підтримку цивільного населення в умовах воєнного стану та на забезпечення обслуговування внутрішньо переміщених осіб КЕКВ 2240</t>
    </r>
  </si>
  <si>
    <t>09.05.2023     №76/01-20</t>
  </si>
  <si>
    <r>
      <t xml:space="preserve">Додаткові кошти  в сумі 100000 грн.  </t>
    </r>
    <r>
      <rPr>
        <b/>
        <sz val="12"/>
        <rFont val="Times New Roman"/>
        <family val="1"/>
        <charset val="204"/>
      </rPr>
      <t xml:space="preserve">на виготовлення проектно-кошторисної документації по проекту    "Капітальний ремонт покрівлі (влаштування гідроізоляції) міського палацу культури "Ювілейний" Новоукраїнської міської ради за адресою: вул. Соборна, 55, м. Новоукраїнка, Кіровоградської області", </t>
    </r>
    <r>
      <rPr>
        <sz val="12"/>
        <rFont val="Times New Roman"/>
        <family val="1"/>
        <charset val="204"/>
      </rPr>
      <t>за рахунок перевиконання дохідної частини загального фонду бюджету Новоукраїнської міської територіальної громади станом на 01.05.2023 року, відповідно до офіційного висновку та пункту 22 розділу VI "Прикінцеві та перехідні положення" Бюджетного кодексу України КЕКВ 3132</t>
    </r>
  </si>
  <si>
    <t>рішення 609 від 18.01.2022 року</t>
  </si>
  <si>
    <t>Субвенція обласному бюджету Кіровоградської області в сумі 1000000 грн.  на  співфінансування  інвестиційних проектів в рамках програми Велике будівництво, які передбачається фінансувати у 2022 році в рамках здійснення заходів щодо соціально-економічного розвитку окремих територій  на реалізацію  проекту "Реконструкція центрального міського стадіону та адміністративної будівлі дитячо-юнацької спортивної школи Новоукраїнської міської ради за адресою:  Кіровоградська область, м. Новоукраїнка, вул. О.Гіталова, 13/74", за рахунок  перенесення фінансування з головного розпорядника коштів фінансового управління з КПКВ 3719770 КЕКВ 3220 на головного розпорядника коштів фінансове управління КЕКВ 3220</t>
  </si>
  <si>
    <t>20.04.2022 б/н</t>
  </si>
  <si>
    <t>Перерозподіл субвенції обласному бюджету Кіровоградської області в сумі 1000000 грн.  на  співфінансування  інвестиційних проектів в рамках програми Велике будівництво, які передбачається фінансувати у 2022 році в рамках здійснення заходів щодо соціально-економічного розвитку окремих територій  на реалізацію  проекту "Реконструкція центрального міського стадіону та адміністративної будівлі дитячо-юнацької спортивної школи Новоукраїнської міської ради за адресою:  Кіровоградська область, м. Новоукраїнка, вул. О.Гіталова, 13/74" КЕКВ 3220, за рахунок  перенесення фінансування  на КПКВ 0216013 КЕКВ 2610 в сумі 360000 грн., на КПКВ 0216020 КЕКВ 2610 в сумі 500000 грн. та на КПКВ 0812010 КЕКВ 2610 в сумі 140000 грн.</t>
  </si>
  <si>
    <t>Перерозподіл субвенції обласному бюджету Кіровоградської області в сумі 1000000 грн.  на  співфінансування  інвестиційних проектів в рамках програми Велике будівництво, які передбачається фінансувати у 2022 році в рамках здійснення заходів щодо соціально-економічного розвитку окремих територій  на реалізацію  проекту "Реконструкція центрального міського стадіону та адміністративної будівлі дитячо-юнацької спортивної школи Новоукраїнської міської ради за адресою:  Кіровоградська область, м. Новоукраїнка, вул. О.Гіталова, 13/74", за рахунок  перенесення  на  КПКВ  3719750  КЕКВ 3220</t>
  </si>
  <si>
    <t>РАЗОМ</t>
  </si>
  <si>
    <t xml:space="preserve"> Секретар міської ради                                                                                                                                                                                        Людмила ВИШНЕВЕЦЬКА        </t>
  </si>
  <si>
    <t xml:space="preserve">                                                                                          до рішення Новоукраїнської міської ради восьмого скликання</t>
  </si>
  <si>
    <t xml:space="preserve">Новоукраїнської міської ради від     грудня 2024 року №    )  </t>
  </si>
  <si>
    <t>Відділ освіти виконавчого комітету Новоукраїнської міської ради</t>
  </si>
  <si>
    <t xml:space="preserve">Надання спеціалізованої освіти мистецькими школами </t>
  </si>
  <si>
    <t>Надання спеціалізованої освіти мистецькими школами</t>
  </si>
  <si>
    <t xml:space="preserve">скликання 19 грудня 2023 року № 1340  </t>
  </si>
  <si>
    <t>Бюджет Піщанобрідської сільської територіальної громади</t>
  </si>
  <si>
    <t>1292</t>
  </si>
  <si>
    <t>0611292</t>
  </si>
  <si>
    <t>Реалізація заходів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</si>
  <si>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у тому числі за рахунок залишку коштів за освітньою субвенцією на кінець бюджетного періоду</t>
  </si>
  <si>
    <t>0611291</t>
  </si>
  <si>
    <t>1291</t>
  </si>
  <si>
    <t>Співфінансування заходів, що реалізуються за рахунок залишку коштів за освітньою субвенцією на кінець бюджетного періоду, що мають цільове призначення, виділених відповідно до рішень Кабінету Міністрів України у попередніх бюджетних періодах (за спеціальним фондом державного бюджету)</t>
  </si>
  <si>
    <t>1. Спеціальний фонд</t>
  </si>
  <si>
    <t>Додаток 9</t>
  </si>
  <si>
    <t xml:space="preserve">Офіційний висновок </t>
  </si>
  <si>
    <t>ККД</t>
  </si>
  <si>
    <t>Доходи</t>
  </si>
  <si>
    <t>Поч.річн. план</t>
  </si>
  <si>
    <t>Уточн.річн. план</t>
  </si>
  <si>
    <t xml:space="preserve"> Уточ.пл. за період</t>
  </si>
  <si>
    <t>Факт</t>
  </si>
  <si>
    <t>+/-</t>
  </si>
  <si>
    <t>% викон.</t>
  </si>
  <si>
    <t>Податкові надходження</t>
  </si>
  <si>
    <t>Податки на доходи, податки на прибуток, податки на збільшення ринкової вартості</t>
  </si>
  <si>
    <t>Податок на доходи фізичних осіб у вигляді мінімального податкового зобов`язання, що підлягає сплаті фізичними особами</t>
  </si>
  <si>
    <t>Податок на прибуток підприємств</t>
  </si>
  <si>
    <t>Податок на прибуток підприємств та фінансових установ комунальної власності</t>
  </si>
  <si>
    <t>Рентна плата та плата за використання інших природних ресурсів</t>
  </si>
  <si>
    <t>Рентна плата за спеціальне використання лісових ресурсів</t>
  </si>
  <si>
    <t>Рентна плата за спеціальне використання лісових ресурсів (крім рентної плати за спеціальне використання лісових ресурсів в частині деревини, заготовленої в порядку рубок головного користування)</t>
  </si>
  <si>
    <t>Внутрішні податки на товари та послуги</t>
  </si>
  <si>
    <t>Акцизний податок з ввезених на митну територію України підакцизних товарів (продукції)</t>
  </si>
  <si>
    <t>Акцизний податок з реалізації виробниками та/або імпортерами, у тому числі в роздрібній торгівлі тютюнових виробів, тютюну та промислових замінників тютюну, рідин, що використовуються в електронних сигаретах, що оподатковується згідно з підпунктом 213.1.1</t>
  </si>
  <si>
    <t>Місцеві податки та збори, що сплачуються (перераховуються) згідно з Податковим кодексом України</t>
  </si>
  <si>
    <t>Земельний податок з юридичних осіб</t>
  </si>
  <si>
    <t>Орендна плата з юридичних осіб</t>
  </si>
  <si>
    <t>Земельний податок з фізичних осіб</t>
  </si>
  <si>
    <t>Орендна плата з фізичних осіб</t>
  </si>
  <si>
    <t>Єдиний податок</t>
  </si>
  <si>
    <t>Єдиний податок з юридичних осіб</t>
  </si>
  <si>
    <t>Єдиний податок з фізичних осіб</t>
  </si>
  <si>
    <t>Єдиний податок з сільськогосподарських товаровиробників, у яких частка сільськогосподарського товаровиробництва за попередній податковий (звітний) рік дорівнює або перевищує 75 відсотків</t>
  </si>
  <si>
    <t>Неподаткові надходження</t>
  </si>
  <si>
    <t>Адміністративні штрафи та інші санкції</t>
  </si>
  <si>
    <t>Адміністративні збори та платежі, доходи від некомерційної господарської діяльності</t>
  </si>
  <si>
    <t>Державне мито</t>
  </si>
  <si>
    <t>Державне мито, що сплачується за місцем розгляду та оформлення документів, у тому числі за оформлення документів на спадщину і дарування</t>
  </si>
  <si>
    <t xml:space="preserve">Усього ( без урахування трансфертів) </t>
  </si>
  <si>
    <t xml:space="preserve">Начальник фінансового управління  </t>
  </si>
  <si>
    <t>Антоніна КОЛПАК</t>
  </si>
  <si>
    <t>Адміністративні штрафи за адміністративні правопорушення у сфері забезпечення безпеки дорожнього руху, зафіксовані в автоматичному режимі</t>
  </si>
  <si>
    <t xml:space="preserve">Програма "Поліцейський офіцер громади" Новоукраїнської  міської територіальної громади   на  2022 – 2025 роки </t>
  </si>
  <si>
    <t>Рішення міської ради № 965 від 17.01.2023 року</t>
  </si>
  <si>
    <t>Виконавчий комітет Новоукраїнської міської Ради</t>
  </si>
  <si>
    <t>Виконання інвестиційних проектів в рамках здійснення заходів щодо соціально - економічного розвитку окремих територій</t>
  </si>
  <si>
    <t>"Реконструкція будівель, споруд, комунікацій та облаштування прилеглої території комунального некомерційного підприємства "Новоукраїнська центральна районна лікарня" Новоукраїнської районної ради   (адреса 27100,  Кіровоградська область, м.Новоукраїнка, провулок Лікарняний, 1). Коригування"</t>
  </si>
  <si>
    <t xml:space="preserve">Програма "Розвиток та удосконалення цивільного захисту населення Новоукраїнської міської територіальної громади на 2018-2026 роки" </t>
  </si>
  <si>
    <r>
      <t xml:space="preserve">Перерозподіл бюджетних призначень в межах виділених річних асигнувань в сумі 103000 грн. перенесення фінансування  з КПКВ 0812111 КЕКВ 2610, збільшення фінансування  </t>
    </r>
    <r>
      <rPr>
        <b/>
        <sz val="12"/>
        <rFont val="Times New Roman"/>
        <family val="1"/>
        <charset val="204"/>
      </rPr>
      <t xml:space="preserve">на інші виплати населенню  (для забезпечення відшкодування лікарських засобів за рецептами лікарів для дитей  з інвалідністю),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</si>
  <si>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70000 грн. перенесення фінансування  з КПКВ 0812111 КЕКВ 2610, зменшення фінансування  </t>
    </r>
    <r>
      <rPr>
        <b/>
        <sz val="12"/>
        <rFont val="Times New Roman"/>
        <family val="1"/>
        <charset val="204"/>
      </rPr>
      <t xml:space="preserve"> на продукти харчування (для забезпечення лікувальним харчуванням дитини інваліда)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</si>
  <si>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виготовлення проектно-кошторисної документації  та експертизи по об'єкту КНП "Новоукраїнська  міська лікарня"для проведення реконструкції приміщення терапевтичного корпусу під реабілітаційне відділення</t>
  </si>
  <si>
    <t>Співфінансування інвестиційних проектів, які передбачається фінансувати у 2024 році в рамках здійснення заходів щодо соціально-економічного розвитку окремих територій</t>
  </si>
  <si>
    <t>01.03.2024        №132/01-14</t>
  </si>
  <si>
    <t>05.03.2023        №343</t>
  </si>
  <si>
    <t>Рішення міської ради № 1412 від 20.02.2024 року</t>
  </si>
  <si>
    <t xml:space="preserve">Комплексна  Програма підтримки військовослужбовців Сил територіальної оборони та Збройних Сил України на 2024 рік </t>
  </si>
  <si>
    <t>Рішення міської ради № 1447 від 19.03.2024 року</t>
  </si>
  <si>
    <t>Програма співпраці Новоукраїнської ДПІ та Новоукраїнської міської територіальної громади з платниками податків з метою покращення адміністрування податків і зборів та збільшення надходжень до бюджету у 2024 році</t>
  </si>
  <si>
    <t>Рішення міської ради № 1418 від 20.02.2024 року</t>
  </si>
  <si>
    <t>29.03.2024        №190/01-14</t>
  </si>
  <si>
    <t>25.03.2023       №17</t>
  </si>
  <si>
    <t xml:space="preserve">виготовлення  проектно-кошторисної документації, проведення експертизи,  інженерно-геологічні та геодезичні вишукування, виготовлення технічних умов нестандартного приєднання до  електричних мереж електроустановок по проекту "Нове будівництво захисної споруди цивільного захисту (ПРУ) Новоукраїнськоого ліцею №8 Новоукраїнської міської ради за адресою: Кіровоградська область, м. Новоукраїнка, вул. Павлівська, 14" </t>
  </si>
  <si>
    <t>Додаткова дотація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t>
  </si>
  <si>
    <t>у тому числі за рахунок додаткової дотації з місцевого бюджету</t>
  </si>
  <si>
    <t>у тому числі за рахунок  субвенції з державного бюджету</t>
  </si>
  <si>
    <t>08.05.2024        №98/01-20</t>
  </si>
  <si>
    <r>
      <t xml:space="preserve">Перерозподіл бюджетних призначень в межах виділених річних асигнувань в сумі 130000 грн., перенесення фінансування  з КПКВ 1014060 КЕКВ 2275, збільшення фінансування  </t>
    </r>
    <r>
      <rPr>
        <b/>
        <sz val="12"/>
        <rFont val="Times New Roman"/>
        <family val="1"/>
        <charset val="204"/>
      </rPr>
      <t xml:space="preserve">на придбання  інших енергоносіїв для Новоукраїнської центральної бібліотеки   </t>
    </r>
    <r>
      <rPr>
        <sz val="12"/>
        <rFont val="Times New Roman"/>
        <family val="1"/>
        <charset val="204"/>
      </rPr>
      <t>КЕКВ 2275</t>
    </r>
  </si>
  <si>
    <t>09.05.2024     №265/01-14</t>
  </si>
  <si>
    <t>0217351</t>
  </si>
  <si>
    <t>7351</t>
  </si>
  <si>
    <t>Розроблення комплексних планів просторового розвитку територій територіальних громад</t>
  </si>
  <si>
    <t>10.06.2024          № 5581</t>
  </si>
  <si>
    <t>Програма  реформування  і  розвитку житлово- комунального господарства  Новоукраїнської міської об’єднаної територіальної громади на 2021-2025 роки</t>
  </si>
  <si>
    <t>Рішення міської ради № 485 від 10.10.2023 року</t>
  </si>
  <si>
    <t>Завершення робіт  по проекту  "Реконструкція очисних споруд  по вул. Мокряка  у м.Новоукраїнка, Кіровоградської обл., продуктивністю 200 м3/доб.(Коригування)"</t>
  </si>
  <si>
    <t>Перерозподіл бюджетних призначень в межах виділених річних асигнувань в сумі 15000 грн., перенесення фінансування з КПКВ 0215031 КЕКВ 2275, а саме збільшення фінансування на придбання насоса для води для обслуговування центрального міського стадіону ДЮСШ  Новоукраїнської міської КЕКВ 2210. Вивільнені кошти на заміну джерела фінансування, передбачені за рахунок надходжень до бюджету Новоукраїнської міської територіальної громади на 2024 рік залучити на незахищені видатки.</t>
  </si>
  <si>
    <t>22.07.2024 №70</t>
  </si>
  <si>
    <t>Грошова компенсація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t>
  </si>
  <si>
    <t>0813221</t>
  </si>
  <si>
    <t>3221</t>
  </si>
  <si>
    <t>Субвенція з місцевого бюджету на виплату грошової компенсації за належні для отримання жилі приміщення для сімей осіб, визначених пунктами 2 - 5 частини першої статті 10-1 Закону України "Про статус ветеранів війни, гарантії їх соціального захисту", для осіб з інвалідністю I - II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здійсненні заходів із забезпечення національної безпеки і оборони, відсічі і стримування збройної агресії Російської Федерації у Донецькій та Луганській областях, забезпеченні їх здійснення, у заходах, необхідних для забезпечення оборони України, захисту безпеки населення та інтересів держави у зв'язку з військовою агресією Російської Федерації проти України, визначених пунктами 11 - 14 частини другої статті 7 Закону України "Про статус ветеранів війни, гарантії їх соціального захисту", та які потребують поліпшення житлових умов за рахунок відповідної субвенції з державного бюджету</t>
  </si>
  <si>
    <t>01.08.2024     №470/01-14</t>
  </si>
  <si>
    <r>
      <t xml:space="preserve">Перерозподіл бюджетних призначень в межах виділених річних асигнувань в сумі 10000 грн.,  а саме </t>
    </r>
    <r>
      <rPr>
        <b/>
        <sz val="12"/>
        <rFont val="Times New Roman"/>
        <family val="1"/>
        <charset val="204"/>
      </rPr>
      <t xml:space="preserve">зменшення фінансування для оплати за відрядження </t>
    </r>
    <r>
      <rPr>
        <sz val="12"/>
        <rFont val="Times New Roman"/>
        <family val="1"/>
        <charset val="204"/>
      </rPr>
      <t xml:space="preserve"> по відділу освіти виконавчого комітету Новоукраїнської міської ради  КЕКВ 2250,  за рахунок перенесення фінансування  на КПКВ 0611021  КЕКВ 2240   </t>
    </r>
  </si>
  <si>
    <t>1060</t>
  </si>
  <si>
    <t>06.08.2024        №110/01-29</t>
  </si>
  <si>
    <t xml:space="preserve">0611026 </t>
  </si>
  <si>
    <t>09.08.2024     №488/01-14</t>
  </si>
  <si>
    <t xml:space="preserve">Перерозподіл бюджетних призначень в межах виділених річних асигнувань в сумі 5000 грн., перенесення фінансування  на  КПКВ 0611026  КЕКВ 2282, зменшення фінансування на окремі заходи, не віднесені до заходів розвитку по Новоукраїнському міжшкільному ресурсному центру, у зв'язку із  перейменуванням Новоукраїнського міжшкільного навчально-виробничого комбінату КЕКВ 2282 </t>
  </si>
  <si>
    <t>0611026</t>
  </si>
  <si>
    <t>1026</t>
  </si>
  <si>
    <t>Надання загальної середньої освіти міжшкільними ресурсними центрами за рахунок коштів місцевого бюджету</t>
  </si>
  <si>
    <t>Перерозподіл бюджетних призначень в межах виділених річних асигнувань в сумі  473900 грн., перенесення фінансування  з КПКВ 0611010 КЕКВ 2275, а саме збільшення фінансування на придбання  пелетного котла  з бункером  у Новоукраїнському комунальному закладі дошкільної освіти "Берізка"   КЕКВ 3110.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2024 рік.</t>
  </si>
  <si>
    <r>
      <t xml:space="preserve">Повернення коштів в сумі 56495,57 грн. </t>
    </r>
    <r>
      <rPr>
        <b/>
        <sz val="12"/>
        <rFont val="Times New Roman"/>
        <family val="1"/>
        <charset val="204"/>
      </rPr>
      <t>на оплату праці з нарахуванням працівникам ФАП та ФП,</t>
    </r>
    <r>
      <rPr>
        <sz val="12"/>
        <rFont val="Times New Roman"/>
        <family val="1"/>
        <charset val="204"/>
      </rPr>
      <t xml:space="preserve"> співфінансування за рахунок субвенції з бюджету </t>
    </r>
    <r>
      <rPr>
        <b/>
        <sz val="12"/>
        <rFont val="Times New Roman"/>
        <family val="1"/>
        <charset val="204"/>
      </rPr>
      <t xml:space="preserve"> Соколівської сільської територіальної громади </t>
    </r>
    <r>
      <rPr>
        <sz val="12"/>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 у зв'язку з передачею Диминського ФАП до Аджамської ТГ</t>
    </r>
  </si>
  <si>
    <r>
      <t xml:space="preserve">Повернення коштів в сумі 1767 грн. </t>
    </r>
    <r>
      <rPr>
        <b/>
        <sz val="12"/>
        <rFont val="Times New Roman"/>
        <family val="1"/>
        <charset val="204"/>
      </rPr>
      <t xml:space="preserve"> на предмети матеріали обладнання та інвентар, співфінансування за рахунок субвенції з бюджету Соколівської сільської територіальної громади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  у зв'язку з передачею Диминського ФАП до Аджамської ТГ</t>
    </r>
  </si>
  <si>
    <r>
      <t xml:space="preserve">Повернення коштів в сумі 11413,58 грн. </t>
    </r>
    <r>
      <rPr>
        <b/>
        <sz val="12"/>
        <rFont val="Times New Roman"/>
        <family val="1"/>
        <charset val="204"/>
      </rPr>
      <t xml:space="preserve"> на придбання медикаментів, співфінансування за рахунок субвенції з бюджету Соколівської сільської територіальної громади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  у зв'язку з передачею Диминського ФАП до Аджамської ТГ</t>
    </r>
  </si>
  <si>
    <r>
      <t xml:space="preserve">Повернення коштів в сумі 2052,63 грн.  </t>
    </r>
    <r>
      <rPr>
        <b/>
        <sz val="12"/>
        <rFont val="Times New Roman"/>
        <family val="1"/>
        <charset val="204"/>
      </rPr>
      <t>на оплату послуг (крім комунальних),</t>
    </r>
    <r>
      <rPr>
        <sz val="12"/>
        <rFont val="Times New Roman"/>
        <family val="1"/>
        <charset val="204"/>
      </rPr>
      <t xml:space="preserve"> співфінансування за рахунок субвенції з бюджету Cокол</t>
    </r>
    <r>
      <rPr>
        <b/>
        <sz val="12"/>
        <rFont val="Times New Roman"/>
        <family val="1"/>
        <charset val="204"/>
      </rPr>
      <t>івської сільської територіальної громади для КНП "Центр первинної медико-санітарної допомоги",</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  у зв'язку з передачею Диминського ФАП до Аджамської ТГ</t>
    </r>
  </si>
  <si>
    <r>
      <t xml:space="preserve">Повернення коштів в сумі 16320 грн. </t>
    </r>
    <r>
      <rPr>
        <b/>
        <sz val="12"/>
        <rFont val="Times New Roman"/>
        <family val="1"/>
        <charset val="204"/>
      </rPr>
      <t>на оплату комунальних послуг та енергоносіїв</t>
    </r>
    <r>
      <rPr>
        <sz val="12"/>
        <rFont val="Times New Roman"/>
        <family val="1"/>
        <charset val="204"/>
      </rPr>
      <t>, співфінансування за рахунок субвенції з бюджету  Соколівської   сільської територіальної громади 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  у зв'язку з передачею Диминського ФАП до Аджамської ТГ</t>
    </r>
  </si>
  <si>
    <r>
      <t xml:space="preserve">Перерозподіл  коштів субвенції державному бюджету на виконання програм соціально-економічного розвитку регіонів з бюджету Новоукраїнської  міської територіальної громади  на виконання у 2024 році Комплексної  Програми підтримки військовослужбовців Сил територіальної оборони та Збройних Сил України на 2024 рік, перенесення фінансування  з КПКВ 0219800 КЕКВ 2620, а саме </t>
    </r>
    <r>
      <rPr>
        <b/>
        <sz val="12"/>
        <rFont val="Times New Roman"/>
        <family val="1"/>
        <charset val="204"/>
      </rPr>
      <t xml:space="preserve">збільшення  фінансування для забезпечення призову на строкову військову службу та мобілізації громадян територіальної громади  в 2024 році, а саме доставка призовників та мобілізованих до пунктів приймання особового складу військових частин  в сумі 50000 грн., для Новоукраїнського районного територіального центру комплектування та соціальної підтримки для організації підготовки та проведення мобілізації, </t>
    </r>
    <r>
      <rPr>
        <sz val="12"/>
        <rFont val="Times New Roman"/>
        <family val="1"/>
        <charset val="204"/>
      </rPr>
      <t>через Кіровоградський обласний територіальний центр комплектування та соціальної підтримки,  як головного розпорядника коштів,  як установі, що фінансується з державного бюджету</t>
    </r>
    <r>
      <rPr>
        <b/>
        <sz val="12"/>
        <rFont val="Times New Roman"/>
        <family val="1"/>
        <charset val="204"/>
      </rPr>
      <t xml:space="preserve"> </t>
    </r>
    <r>
      <rPr>
        <sz val="12"/>
        <rFont val="Times New Roman"/>
        <family val="1"/>
        <charset val="204"/>
      </rPr>
      <t xml:space="preserve"> КЕКВ 2620</t>
    </r>
  </si>
  <si>
    <r>
      <t>Додаткові кошти в сумі 1810 грн., для виплати одноразової грошової допомоги  учням, у зв'язку з уточненням списку дітей - сиріт, дітей позбавлених батьківського піклування, яким виповнюється 18 років у 2024 році,  за рахунок  вільного залишку коштів загального фонду бюджету Новоукраїнської  міської територіальної громади станом на 01.01.2024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та до статті 46 Закону України "Про Державний бюджет України на 2024 рік". Внести зміни до Міської Програми розвитку  освіти Новоукраїнської міської  територіальної громади на 2024-2028 роки  КЕКВ 2730 </t>
    </r>
  </si>
  <si>
    <r>
      <t>Додаткові кошти в сумі  20000 грн.  на оплату послуг, крім комунальних  (послуги з заміру опору ізоляції та заземлення) на території</t>
    </r>
    <r>
      <rPr>
        <b/>
        <sz val="12"/>
        <rFont val="Times New Roman"/>
        <family val="1"/>
        <charset val="204"/>
      </rPr>
      <t xml:space="preserve"> КНП "Новоукраїнська  міська лікарня",</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перевиконання дохідної частини загального фонду бюджету Новоукраїнської міської територіальної громади станом на 01.03.2024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КЕКВ 2610</t>
    </r>
  </si>
  <si>
    <r>
      <t xml:space="preserve">Додаткові кошти в сумі 47520 грн. </t>
    </r>
    <r>
      <rPr>
        <b/>
        <sz val="12"/>
        <rFont val="Times New Roman"/>
        <family val="1"/>
        <charset val="204"/>
      </rPr>
      <t>на придбання медикаментів (вакцина проти грипу для щеплення працівників закладів охорони здоров'я та освіти)  КНП "Центр первинної медико-санітарної допомоги",</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за рахунок вільного залишку коштів станом на 01.01.2021 року КЕКВ 2610</t>
    </r>
  </si>
  <si>
    <r>
      <t xml:space="preserve">Перерозподіл бюджетних призначень в межах виділених річних асигнувань в сумі 39000 грн. перенесення фінансування  з КПКВ 0813242 КЕКВ 2730, збільшення фінансування  </t>
    </r>
    <r>
      <rPr>
        <b/>
        <sz val="12"/>
        <rFont val="Times New Roman"/>
        <family val="1"/>
        <charset val="204"/>
      </rPr>
      <t xml:space="preserve">на інші виплати населенню (покриття витрат на проживання, житлово-комунальні послуги та інше) на виконання Програми місцевих стимулів для медичних працівників Новоукраїнської міської територіальної громади на 2021-2026 роки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2024 рік.</t>
    </r>
  </si>
  <si>
    <r>
      <t xml:space="preserve">Перерозподіл бюджетних призначень в межах виділених річних асигнувань в сумі 41850 грн. перенесення фінансування  з КПКВ 0812111 КЕКВ 2610, зменшення фінансування  </t>
    </r>
    <r>
      <rPr>
        <b/>
        <sz val="12"/>
        <rFont val="Times New Roman"/>
        <family val="1"/>
        <charset val="204"/>
      </rPr>
      <t>на оплату праці з нарахуванням працівникам ФАП та ФП,</t>
    </r>
    <r>
      <rPr>
        <sz val="12"/>
        <rFont val="Times New Roman"/>
        <family val="1"/>
        <charset val="204"/>
      </rPr>
      <t xml:space="preserve"> співфінансування за рахунок субвенції з бюджету Ганнівської сільської територіальної громади 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</si>
  <si>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2000 грн. перенесення фінансування  на КПКВ 0812111 КЕКВ 2610, зменшення фінансування </t>
    </r>
    <r>
      <rPr>
        <b/>
        <sz val="12"/>
        <rFont val="Times New Roman"/>
        <family val="1"/>
        <charset val="204"/>
      </rPr>
      <t xml:space="preserve"> на інші виплати населенню, співфінансування за рахунок субвенції з бюджету Ганівської сільської територіальної громади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</si>
  <si>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3300 грн. перенесення фінансування  на КПКВ 0812111 КЕКВ 2610, зменшення фінансування </t>
    </r>
    <r>
      <rPr>
        <b/>
        <sz val="12"/>
        <rFont val="Times New Roman"/>
        <family val="1"/>
        <charset val="204"/>
      </rPr>
      <t xml:space="preserve"> на медикаменти та перев'язувальні матеріали, співфінансування за рахунок субвенції з бюджету Ганівської сільської територіальної громади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</si>
  <si>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Перерозподіл бюджетних призначень в межах виділених річних асигнувань в сумі 75000 грн., перенесення фінансування  з КПКВ 0117461 КЕКВ 3110, збільшення фінансування    для придбання програмного забезпечення із створенням геоінформаційної системи Адресний реєстр для працівників  Новоукраїнської міської об'єднаної територіальної громади   для організації надання соціальних послуг із застосуванням електронного документообігу   КЕКВ 2240</t>
  </si>
  <si>
    <t>Перерозподіл бюджетних призначень в межах виділених річних асигнувань в сумі 23900 грн., перенесення фінансування з КПКВ 0117461 КЕКВ 2240, а саме  на придбання принтерів для впровадження прогамного комплексу "Інтегрована інформаційна система "Соціальна громада" для працівників соціального захисту Новоукраїнської міської об'єднаної територіальної громади   для організації надання соціальних послуг із застосуванням електронного документообігу  (2 принтери по7800 грн. та 1 принтер за 8300 грн.)   КЕКВ 3110</t>
  </si>
  <si>
    <r>
      <t xml:space="preserve">Додаткові кошти в сумі 400000 грн.  на придбання службового житла для лікарів </t>
    </r>
    <r>
      <rPr>
        <b/>
        <sz val="12"/>
        <rFont val="Times New Roman"/>
        <family val="1"/>
        <charset val="204"/>
      </rPr>
      <t>КНП "Новоукраїнська  міська лікарня"</t>
    </r>
    <r>
      <rPr>
        <sz val="12"/>
        <rFont val="Times New Roman"/>
        <family val="1"/>
        <charset val="204"/>
      </rPr>
      <t>, за рахунок перевиконання дохідної частини загального фонду бюджету Новоукраїнської міської територіальної громади станом на 01.07.2023 року, відповідно до офіційного висновку та пункту 22 розділу VI "Прикінцеві та перехідні положення" Бюджетного кодексу України   КЕКВ 3121</t>
    </r>
  </si>
  <si>
    <t xml:space="preserve">19.08.2024 року №934 </t>
  </si>
  <si>
    <t>29.08.2024     №527/01-14</t>
  </si>
  <si>
    <r>
      <t>Додаткові кошти  в сумі 252000 грн. на виконання заходів  Комплексної  Програми підтримки військовослужбовців Сил територіальної оборони та Збройних Сил України на 2024 рік, на виконання поставлених бойових завдань, для придбання двох GnSS- систем керування для БПЛА тип 2 головним розпорядником  коштів виконавчим комітетом Новоукраїнської міської ради для військової частини А****, як заходи та роботи з територіальної оборони та мобілізаційної підготовки, підтримку сил безпеки і оборони, відповідно до листа від 19.08.2024 року №934 та вхідного листа від 22.08.2024 року № 3025/01-25, з подальшою передачею відповідно до рішення міської ради та акта для потреб територіальної оборони (військової частини), за рахунок  вільного залишку коштів загального фонду бюджету Новоукраїнської  міської територіальної громади станом на 01.01.2024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та до статті 46 Закону України "Про Державний бюджет України на 2024 рік"  КЕКВ 3110. </t>
    </r>
  </si>
  <si>
    <t>Субвенція з державного бюджету місцевим бюджетам на забезпечення якісної, сучасної та доступної загальної середньої освіти "Нова українська школа"</t>
  </si>
  <si>
    <t>03.09.2024 №3152/01-21</t>
  </si>
  <si>
    <t xml:space="preserve">Перерозподіл бюджетних призначень в межах виділених річних асигнувань в сумі  121000 грн., перенесення фінансування  з КПКВ 0611021 КЕКВ 3142, а саме збільшення фінансування  на виготовлення  проведення експертизи, геологічних та геодезичних вишукувань проектно-кошторисної документації  проекту  по об'єкту "Реконструкція погреба з добудовою  у філії №3 Новоукраїнського ліцею №6 Новоукраїнської міської ради, за адресою: Кіровоградська обл., м.Новоукраїнка, вул.Миколи Вороного 169"   КЕКВ 3142. </t>
  </si>
  <si>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</si>
  <si>
    <t>Перерозподіл бюджетних призначень в межах виділених річних асигнувань в сумі 100000 грн., перенесення фінансування  з  КПКВ 0216030 КЕКВ 2273, збільшення фінансування на оплату електроенергії по виконавчому комітету Новоукраїнської міської  ради, у зв'язку з виробничою неохідністю КЕКВ 2273</t>
  </si>
  <si>
    <r>
      <t xml:space="preserve">Перерозподіл бюджетних призначень в межах виділених річних асигнувань в сумі 55000 грн.,  перенесення фінансування  з КПКВ 0210150 КЕКВ 2273, а саме збільшення фінансування  </t>
    </r>
    <r>
      <rPr>
        <b/>
        <sz val="12"/>
        <rFont val="Times New Roman"/>
        <family val="1"/>
        <charset val="204"/>
      </rPr>
      <t>на придбання паливо-мастильних матеріалів ( дизельного палива) на виконання програми "Розвиток та удосконалення цивільного захисту населення Новоукраїнської міської  територіальної громади громади на 2018-2026 роки" в т.ч. в умовах воєнного стану для забезпечення роботи генераторів на об'єктах критичної інфраструктури</t>
    </r>
    <r>
      <rPr>
        <sz val="12"/>
        <rFont val="Times New Roman"/>
        <family val="1"/>
        <charset val="204"/>
      </rPr>
      <t xml:space="preserve">  КЕКВ 2210. Внести зміни до програми "Розвиток та удосконалення цивільного захисту населення Новоукраїнської міської  територіальної громади громади на 2018-2026 роки".</t>
    </r>
  </si>
  <si>
    <t>11.09.2024 №3270/01-21</t>
  </si>
  <si>
    <r>
      <t>Субвенція державному бюджету на виконання програм соціально-економічного розвитку регіонів з бюджету Новоукраїнської  міської територіальної громади державному бюджету в сумі 20000 грн. для управління Служби безпеки України в Кіровоградській області на придбання паливно-мастильних матеріалів</t>
    </r>
    <r>
      <rPr>
        <b/>
        <sz val="12"/>
        <rFont val="Times New Roman"/>
        <family val="1"/>
        <charset val="204"/>
      </rPr>
      <t xml:space="preserve">, </t>
    </r>
    <r>
      <rPr>
        <sz val="12"/>
        <rFont val="Times New Roman"/>
        <family val="1"/>
        <charset val="204"/>
      </rPr>
      <t xml:space="preserve"> як головного розпорядника коштів  на виконання у 2024 році Комплексної  Програми підтримки військовослужбовців Сил територіальної оборони та Збройних Сил України на 2024 рік,  як установі, що фінансується з державного бюджету, за рахунок  вільного залишку коштів загального фонду бюджету Новоукраїнської  міської територіальної громади станом на 01.01.2024 року, відповіднопункту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та  до статті 46 Закону України "Про Державний бюджет України на 2024 рік". Внести відповідні зміни до Комплексної  Програми та Програма соціально-економічного та культурного розвитку Новоукраїнської міської територіальної громади на 2024 рік. КЕКВ 2620</t>
    </r>
  </si>
  <si>
    <t xml:space="preserve"> 18.09.2024 №241</t>
  </si>
  <si>
    <r>
      <t>Додаткові кошти  в сумі 30000 грн.  для проведення заходів з нагородження громадян Новоукраїнської  міської територіальної  громади КЕКВ 2730  "Соціального забезпечення", за рахунок  вільного залишку коштів загального фонду бюджету Новоукраїнської  міської територіальної громади станом на 01.01.2024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та до статті 46 Закону України "Про Державний бюджет України на 2024 рік", у зв'язку із виробничою неохідністю, відповідно до рішення виконавчого комітету Новоукраїнської міської ради від 18.09.2024 №241</t>
    </r>
  </si>
  <si>
    <t>17.09.2024     №582/01-14</t>
  </si>
  <si>
    <t>Перерозподіл бюджетних призначень в межах виділених річних асигнувань  в сумі 575010 грн., перенесення фінансування  з КПКВ 0617363 КЕКВ 3122, а саме збільшення фінансування  на виготовлення  проектно-кошторисної документації, проведення експертизи,  інженерно-геологічні та геодезичні вишукування,  по проекту "Нове будівництво захисної споруди цивільного захисту (ПРУ) Новоукраїнського ліцею №8 Новоукраїнської міської ради за адресою: Кіровоградська область, м. Новоукраїнка, вул. Павлівська, 14", у зв'язку з внесенням зін до законодавства та відсутністю фінансування за рахунок субвенції з державного бюджету та необхідності співфінансування з бюджету Новоукраїнської міської територіальної громади КЕКВ 3122</t>
  </si>
  <si>
    <t>Перерозподіл бюджетних призначень в межах виділених річних асигнувань  в сумі 575010 грн., перенесення фінансування  на КПКВ 0617321 КЕКВ 3122, а саме зменшення фінансування  на співфінансування інвестиційних проектів для виготовлення  проектно-кошторисної документації, проведення експертизи,  інженерно-геологічні та геодезичні вишукування,  по проекту "Нове будівництво захисної споруди цивільного захисту (ПРУ) Новоукраїнськоого ліцею №8 Новоукраїнської міської ради за адресою: Кіровоградська область, м. Новоукраїнка, вул. Павлівська, 14", у зв'язку відсутністю фінансування за рахунок субвенції з державного бюджету та необхідності співфінансування з бюджету Новоукраїнської міської територіальної громади КЕКВ 3122</t>
  </si>
  <si>
    <r>
      <t xml:space="preserve">Перерозподіл бюджетних призначень в межах виділених річних асигнувань в сумі 50000 грн., перенесення фінансування з   КПКВ 016013  КЕКВ 2240 в сумі 30000 грн. та  з   КПКВ 0216030  КЕКВ 2210 в сумі 20000 грн., збільшення фінансування на </t>
    </r>
    <r>
      <rPr>
        <b/>
        <sz val="12"/>
        <rFont val="Times New Roman"/>
        <family val="1"/>
        <charset val="204"/>
      </rPr>
      <t>оплату послуг, крім комунальних</t>
    </r>
    <r>
      <rPr>
        <sz val="12"/>
        <rFont val="Times New Roman"/>
        <family val="1"/>
        <charset val="204"/>
      </rPr>
      <t xml:space="preserve"> (поховальні та супутні послуги) КЕКВ 2240</t>
    </r>
  </si>
  <si>
    <r>
      <t xml:space="preserve"> Перерозподіл бюджетних призначень в межах виділених річних асигнувань  в сумі 166000 грн., збільшити фінансування </t>
    </r>
    <r>
      <rPr>
        <b/>
        <sz val="12"/>
        <rFont val="Times New Roman"/>
        <family val="1"/>
        <charset val="204"/>
      </rPr>
      <t xml:space="preserve"> КПКВ 0216020 КЕКВ 2610</t>
    </r>
    <r>
      <rPr>
        <sz val="12"/>
        <rFont val="Times New Roman"/>
        <family val="1"/>
        <charset val="204"/>
      </rPr>
      <t xml:space="preserve"> для </t>
    </r>
    <r>
      <rPr>
        <b/>
        <sz val="12"/>
        <rFont val="Times New Roman"/>
        <family val="1"/>
        <charset val="204"/>
      </rPr>
      <t xml:space="preserve">Новоукраїнського ЖКП </t>
    </r>
    <r>
      <rPr>
        <sz val="12"/>
        <rFont val="Times New Roman"/>
        <family val="1"/>
        <charset val="204"/>
      </rPr>
      <t>для підготовки автотранспорту підприємства для роботи в осінньо-зимовий період в сумі 80000 грн. та для оплати послуг з технічного обслуговування та ремонту автомобільного транспорту в сумі 86000 грн.у зв'язку з виробничою неохідністю, зменшити фінансування</t>
    </r>
    <r>
      <rPr>
        <b/>
        <sz val="12"/>
        <rFont val="Times New Roman"/>
        <family val="1"/>
        <charset val="204"/>
      </rPr>
      <t xml:space="preserve"> зокрема,</t>
    </r>
    <r>
      <rPr>
        <sz val="12"/>
        <rFont val="Times New Roman"/>
        <family val="1"/>
        <charset val="204"/>
      </rPr>
      <t xml:space="preserve"> з послуги з прибирання снігу в сумі 80000 грн. та послуги прибирання льоду в сумі 86000 грн.  за рахунок перенесення фінансування з  </t>
    </r>
    <r>
      <rPr>
        <b/>
        <sz val="12"/>
        <rFont val="Times New Roman"/>
        <family val="1"/>
        <charset val="204"/>
      </rPr>
      <t xml:space="preserve">КПКВ 0216030 КЕКВ 2240  </t>
    </r>
  </si>
  <si>
    <r>
      <t xml:space="preserve"> Перерозподіл бюджетних призначень в межах виділених річних асигнувань  в сумі 166000 грн., зменшити фінансування</t>
    </r>
    <r>
      <rPr>
        <b/>
        <sz val="12"/>
        <rFont val="Times New Roman"/>
        <family val="1"/>
        <charset val="204"/>
      </rPr>
      <t xml:space="preserve"> КПКВ 0216030 КЕКВ 2240 для Новоукраїнського ЖКП зокрема,</t>
    </r>
    <r>
      <rPr>
        <sz val="12"/>
        <rFont val="Times New Roman"/>
        <family val="1"/>
        <charset val="204"/>
      </rPr>
      <t xml:space="preserve"> з послуги з прибирання снігу в сумі 80000 грн. та послуги прибирання льоду в сумі 86000 грн.  та збільшити фінансування для підготовки автотранспорту підприємства для роботи в осінньо-зимовий період в сумі 80000 грн. та для оплати послуг з технічного обслуговування та ремонту автомобільного транспорту в сумі 86000 грн.у зв'язку з виробничою неохідністю, за рахунок перенесення фінансування </t>
    </r>
    <r>
      <rPr>
        <b/>
        <sz val="12"/>
        <rFont val="Times New Roman"/>
        <family val="1"/>
        <charset val="204"/>
      </rPr>
      <t xml:space="preserve">на КПКВ 0216020 КЕКВ 2610 </t>
    </r>
  </si>
  <si>
    <t>01.10.2024        №141/01-29</t>
  </si>
  <si>
    <t xml:space="preserve"> Перерозподіл бюджетних призначень в межах виділених річних асигнувань в сумі 29754 грн., збільшення  для придбання предметів, матеріалів, обладанння та інвентарю (насос для ремонту системи водопостачання) для КНП "Новоукраїнська  міська лікарня" Новоукраїнської  міської ради, як одержувача коштів управління соціального захисту та охорони здоров'я  Новоукраїнської міської ради КЕКВ 3210, у зв'язку з виробничою необхідністю,  за рахунок перенесення фінансування  з КПКВ 0812010 КЕКВ 2610</t>
  </si>
  <si>
    <r>
      <t>Перерозподіл бюджетних призначень в межах виділених річних асигнувань в сумі 30000 грн. перенесення фінансування  на КПКВ 0812111 КЕКВ 2610, зменшення фінансування</t>
    </r>
    <r>
      <rPr>
        <b/>
        <sz val="12"/>
        <rFont val="Times New Roman"/>
        <family val="1"/>
        <charset val="204"/>
      </rPr>
      <t xml:space="preserve"> на оплату комунальних послуг та енергоносіїв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</si>
  <si>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 Перерозподіл бюджетних призначень в межах виділених річних асигнувань в сумі 20264 грн., зменшення фінансування </t>
    </r>
    <r>
      <rPr>
        <b/>
        <sz val="12"/>
        <rFont val="Times New Roman"/>
        <family val="1"/>
        <charset val="204"/>
      </rPr>
      <t xml:space="preserve">для придбання предметів, матеріалів, обладанння та інвентарю (засоби пожежогасіння  - два пожежні насоси) для КНП "Новоукраїнська  міська лікарня" </t>
    </r>
    <r>
      <rPr>
        <sz val="12"/>
        <rFont val="Times New Roman"/>
        <family val="1"/>
        <charset val="204"/>
      </rPr>
      <t>Новоукраїнської  міської ради, як одержувачу коштів управління соціального захисту та охорони здоров'я  Новоукраїнської міської ради КЕКВ 3210, за рахунок перенесення фінансування  на КПКВ 0812010 КЕКВ 3210</t>
    </r>
  </si>
  <si>
    <t>Перерозподіл бюджетних призначень в межах виділених річних асигнувань  в сумі 150000 грн., перенесення фінансування  з  КПКВ 0611010 КЕКВ 2275, а саме збільшення фінансування  на поточний ремонт дорожнього покриття вулиць громади повітряно-стуменевим методом, у зв'язку з виробничою необхідністю КЕКВ 2240</t>
  </si>
  <si>
    <t>03.10.2024        №148/01-29</t>
  </si>
  <si>
    <t>04.10.2024           №98/01-29</t>
  </si>
  <si>
    <t xml:space="preserve"> Перерозподіл бюджетних призначень в межах виділених річних асигнувань в сумі 15000 грн., збільшення фінансування на реалізацію програми  соціальної підтримки населення на території Новоукраїнської міської  територіальної громади на 2021-2026 роки, для забезпечення подарунками дітей з інвалідністю  на території Новоукраїнської міської ТГ,  КЕКВ 2210,  за рахунок перенесення фінансування з КПКВ 0813242 КЕКВ 2730 </t>
  </si>
  <si>
    <r>
      <t xml:space="preserve">Перерозподіл бюджетних призначень в межах виділених річних асигнувань в сумі 200000 грн., перенесення фінансування  на КПКВ 1011080 КЕКВ 2240, зменшення фінансування  </t>
    </r>
    <r>
      <rPr>
        <b/>
        <sz val="12"/>
        <rFont val="Times New Roman"/>
        <family val="1"/>
        <charset val="204"/>
      </rPr>
      <t>на виплату заробітної плати працівникам Новоукраїнської дитячої музичної школи в сумі   163934 грн., КЕКВ 2111 та  нарахування на заробітну плату в сумі 36066 грн. КЕКВ 2120, у зв'язку з економією коштів, через не підняття 1 тарифного розряду з 01 квітня 2024 року</t>
    </r>
  </si>
  <si>
    <t>Перерозподіл бюджетних призначень в межах виділених річних асигнувань в сумі 306559,97 грн., перенесення фінансування з КПКВ 0213121 КЕКВ 2111 в сумі  258220,24 грн. та КЕКВ 2120 в сумі 48339,73 грн., а саме збільшення фінансування, у зв'язку з утвореннямКУ Новоукраїнський міський центр соціальних служб у статусі особи публічного права,  розпорядника нижчого рівня  та потребою на утримання установи з жовтня 2024 року КЕКВ 2111 в сумі  258220,24 грн. та КЕКВ 2120 в сумі 48339,73 грн.</t>
  </si>
  <si>
    <t>Субвенція з державного бюджету місцевим бюджетам на забезпечення харчуванням учнів початкових класів закладів загальної середньої освіти</t>
  </si>
  <si>
    <t>Забезпечення харчуванням учнів початкових класів закладів загальної середньої освіти за рахунок субвенції з державного бюджету місцевим бюджетам</t>
  </si>
  <si>
    <t>1403</t>
  </si>
  <si>
    <t>0611403</t>
  </si>
  <si>
    <t>08.10.2024       №3592/01-27</t>
  </si>
  <si>
    <t>Перерозподіл бюджетних призначень в межах виділених річних асигнувань в сумі 300000 грн., перенесення фінансування  з  КПКВ 0213210  КЕКВ 2111 в сумі 245902 грн., КЕКВ 2120 в сумі 54098 грн., збільшення фінансування у зв'язку з внесеними змінами до структури та штатного розпису та з метою забезпечення видатків на оплату праці до кінця 2024 року виконавчого комітету   КЕКВ 2111 в сумі 245902 грн., КЕКВ 2120 в сумі 54098 грн..</t>
  </si>
  <si>
    <r>
      <t>Додаткові кошти в сумі 11000 грн.  для придбання предметів, матеріалів, обладанння та інвентарю (два гідравлічні домкрати) для захисної споруди цивільного захисту протирадіаційного укриття №43103 КНП "Новоукраїнська  міська лікарня" Новоукраїнської  міської ради, як одержувачу коштів управління соціального захисту та охорони здоров'я  Новоукраїнської міської ради,за рахунок  вільного залишку коштів загального фонду бюджету Новоукраїнської  міської територіальної громади станом на 01.01.2024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та до статті 46 Закону України "Про Державний бюджет України на 2024 рік"  (поточні видатки)  КЕКВ 2610</t>
    </r>
  </si>
  <si>
    <r>
      <t xml:space="preserve"> Перерозподіл бюджетних призначень в межах виділених річних асигнувань  в сумі 136640 грн., зменшення фінансування</t>
    </r>
    <r>
      <rPr>
        <b/>
        <sz val="12"/>
        <rFont val="Times New Roman"/>
        <family val="1"/>
        <charset val="204"/>
      </rPr>
      <t xml:space="preserve"> на виплату заробітної плати  в сумі 112000 грн. КЕКВ 2111, нарахування на заробітну плату в сумі 24640 грн. КЕКВ 2120 по комунальному закладу "Новоукраїнський міський центр тимчасового проживання/перебування внутрішньо переміщених осіб" КЕКВ 2275, у зв'язку з виробничою неохідністю</t>
    </r>
    <r>
      <rPr>
        <sz val="12"/>
        <rFont val="Times New Roman"/>
        <family val="1"/>
        <charset val="204"/>
      </rPr>
      <t>,  за рахунок перенесення фінансування  на КПКВ 0210150   КЕКВ 2111 в сумі 112000 грн., КЕКВ 2120 в сумі 24640 грн.</t>
    </r>
  </si>
  <si>
    <t>15.10.2024     №656/01-14</t>
  </si>
  <si>
    <t>Рішення міської ради № 988 від 10.02.2023 року</t>
  </si>
  <si>
    <t>Програма організації та проведення суспільно корисних робіт для порушників, на яких судом накладено адміністративне стягнення у вигляді виконання суспільно корисних робіт на 2023-2025 роки</t>
  </si>
  <si>
    <t xml:space="preserve"> Перенесення залишку коштів спеціального фонду   в сумі 6757,84 грн., з  КПКВ 0611141  на  КПКВ 0611026  , у зв'язку із  перейменуванням Новоукраїнського міжшкільного навчально-виробничого комбінату на Новоукраїнський міжшкільний ресурсний центр Новоукраїнської  міської ради Кіровоградської області</t>
  </si>
  <si>
    <t>16.10.2024     №658/01-14</t>
  </si>
  <si>
    <t>18.10.2024        №166/01-29</t>
  </si>
  <si>
    <r>
      <t xml:space="preserve">Перерозподіл бюджетних призначень в межах виділених річних асигнувань в сумі 5500 грн., збільшення фінансування </t>
    </r>
    <r>
      <rPr>
        <b/>
        <sz val="12"/>
        <rFont val="Times New Roman"/>
        <family val="1"/>
        <charset val="204"/>
      </rPr>
      <t>на проведення заходів та фінансову підтримку діяльності громадської організації "Організація ветеранів України"  Новоукраїнської міської  територіальної громади Новоукраїнського району</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 за рахунок перенесення фінансування з КПКВ 0813241 КЕКВ 2275 </t>
    </r>
  </si>
  <si>
    <r>
      <t xml:space="preserve">Перерозподіл бюджетних призначень в межах виділених річних асигнувань в сумі 302222 грн., перенесення фінансування  з КПКВ 0611082 КЕКВ 2210, а саме збільшення фінансування </t>
    </r>
    <r>
      <rPr>
        <b/>
        <sz val="12"/>
        <rFont val="Times New Roman"/>
        <family val="1"/>
        <charset val="204"/>
      </rPr>
      <t xml:space="preserve">на закупівлю засобів навчання та обладнання, комп'ютерного та мультимедійного обладнання для   навчальних кабінетів природничої галузі освіти   закладів загальної середньої освіти, яке буде придбаватись за рахунок  коштів субвенції з державного бюджету місцевим бюджетам на забезпечення якісної, сучасної та доступної загальної середньої освіти "Нова українська школа", відповідно до розпорядження начальника Кіровоградської обласної військової адміністрації від  02.09.2024 року № 843-р. </t>
    </r>
    <r>
      <rPr>
        <sz val="12"/>
        <rFont val="Times New Roman"/>
        <family val="1"/>
        <charset val="204"/>
      </rPr>
      <t xml:space="preserve"> КЕКВ 3110, з поточних видатків на капітальні видатки, вартістю більше 20000 грн. </t>
    </r>
  </si>
  <si>
    <r>
      <t xml:space="preserve">Перерозподіл бюджетних призначень в межах виділених річних асигнувань в сумі 37778 грн., перенесення фінансування  з КПКВ 0611181 КЕКВ 2210, а саме збільшення фінансування  на додаткове співфінансування </t>
    </r>
    <r>
      <rPr>
        <b/>
        <sz val="12"/>
        <rFont val="Times New Roman"/>
        <family val="1"/>
        <charset val="204"/>
      </rPr>
      <t>на закупівлю засобів навчання та обладнання, комп'ютерного та мультимедійного обладнання для   навчальних кабінетів природничої галузі освіти   закладів загальної середньої освіти</t>
    </r>
    <r>
      <rPr>
        <sz val="12"/>
        <rFont val="Times New Roman"/>
        <family val="1"/>
        <charset val="204"/>
      </rPr>
      <t xml:space="preserve">,  яке буде придбаватись за рахунок  коштів субвенції з державного бюджету місцевим бюджетам на забезпечення якісної, сучасної та доступної загальної середньої освіти "Нова українська школа", відповідно до розпорядження начальника Кіровоградської обласної військової адміністрації від  02.09.2024 року № 843-р.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2024 рік.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КЕКВ 2210 з поточних видатків на капітальні видатки, вартістю більше 20000 грн. </t>
    </r>
  </si>
  <si>
    <t xml:space="preserve">Додаткові кошти  в сумі 283450 грн., зокрема для виплати заробітної плати  працівникам КУ Новоукраїнський міський центр соціальних служб в сумі  232332 грн., КЕКВ 2111 та  нарахування на заробітну плату в сумі 51118 грн. КЕКВ 2120, за рахунок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відповідно до постанови Кабінету Міністрів України від 05.07.2024 року  № 779 "Про затвердження Порядку та умов надання у 2024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від 18.10.2024 року  № 1205 "Про деякі питання забезпечення діяльності фахівців із супроводу ветеранів війни та демобілізованих осіб" та розпорядження  начальника Кіровоградської обласної військової адміністрації від  31.10.2024 року  № 1105-р "Про затвердження розподілу у 2024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t>
  </si>
  <si>
    <t>0813193</t>
  </si>
  <si>
    <t>3193</t>
  </si>
  <si>
    <t>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</si>
  <si>
    <t>11.11.2024        №147/01-29</t>
  </si>
  <si>
    <r>
      <t xml:space="preserve">Перерозподіл бюджетних призначень в межах виділених річних асигнувань в сумі 5000 грн. перенесення фінансування  на КПКВ 0812111 КЕКВ 2610, збільшення фінансування  </t>
    </r>
    <r>
      <rPr>
        <b/>
        <sz val="12"/>
        <rFont val="Times New Roman"/>
        <family val="1"/>
        <charset val="204"/>
      </rPr>
      <t xml:space="preserve">на продукти харчування (для придбання молочних сумішей)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</si>
  <si>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11.11.2024        №206/01-20</t>
  </si>
  <si>
    <r>
      <t xml:space="preserve">Перерозподіл бюджетних призначень в межах виділених річних асигнувань в сумі 5000 грн. перенесення фінансування  на КПКВ 0812111 КЕКВ 2610, збільшення фінансування  </t>
    </r>
    <r>
      <rPr>
        <b/>
        <sz val="12"/>
        <rFont val="Times New Roman"/>
        <family val="1"/>
        <charset val="204"/>
      </rPr>
      <t xml:space="preserve">на оплату послуг (підвезення води в Новоолександрівський ФАП та повірка медичного обладнання) на виконання  Програми розвитку, підтримки комунальних закладів охорони здоров’я та надання медичних послуг жителям Новоукраїнської міської територіальної громади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</si>
  <si>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 xml:space="preserve">08.11.2024 №4036/01-21 </t>
  </si>
  <si>
    <t>11.11.2024           № 4074/01-21</t>
  </si>
  <si>
    <t>Перерозподіл бюджетних призначень в межах виділених річних асигнувань в сумі 42500 грн., перенесення фінансування  на КПКВ 0810160 КЕКВ 2111 в сумі 28000 грн., КЕКВ 2120 в сумі 11000 грн., КЕКВ 2250 в сумі 3500 грн.,  за рахунок зменшення фінансування на оплату електроенергії по комунальному закладу "Новоукраїнський міський центр тимчасового проживання/перебування внутрішньо переміщених осіб" КЕКВ 2273</t>
  </si>
  <si>
    <r>
      <t xml:space="preserve"> Перерозподіл бюджетних призначень в межах виділених річних асигнувань в сумі 31000 грн.,  перенесення фінансування  з КПКВ 0813241 КЕКВ 2273,  за рахунок збільшення  фінансування </t>
    </r>
    <r>
      <rPr>
        <b/>
        <sz val="12"/>
        <rFont val="Times New Roman"/>
        <family val="1"/>
        <charset val="204"/>
      </rPr>
      <t xml:space="preserve">на сплату членських внесків для забезпечення проведення навчально - тренувальних зборів і змагань на виконання Програма розвитку фізичної культури і спорту Новоукраїнської територіальної громади на 2017-2027 роки </t>
    </r>
    <r>
      <rPr>
        <sz val="12"/>
        <rFont val="Times New Roman"/>
        <family val="1"/>
        <charset val="204"/>
      </rPr>
      <t>КЕКВ 2800</t>
    </r>
  </si>
  <si>
    <t xml:space="preserve">Додаткові кошти   в сумі 48964,21 грн. на "Рекультивація територій полігонів твердих побутових відходів (п.27-1)", за рахунок залишку коштів  фонду охорони навколишнього  природного середовища станом на 01 січня 2024 року КЕКВ 2240 </t>
  </si>
  <si>
    <t xml:space="preserve"> Перерозподіл бюджетних призначень в межах виділених річних асигнувань в сумі 43500 грн., перенесення фінансування  з КПКВ 0813241 КЕКВ 2275 в сумі 21500 грн. та КЕКВ 2120 в сумі 22000 грн., за рахунок збільшення  фінансування на оплату послуг із висвітлення діяльності виконавчого комітету Новоукраїнської міської ради, зокрема з друкування матеріалів, що стосується інформування населення про загиблих воїнів, надання послуг ВПО, роботи гуманітарного центру та різних оголошень в газеті "Новоукраїнські новини" КЕКВ 2240 </t>
  </si>
  <si>
    <t>12.11.2024 №4078/01-21</t>
  </si>
  <si>
    <t>15.11.2024        №01-18/1190/2</t>
  </si>
  <si>
    <r>
      <t xml:space="preserve">Додаткові кошти в сумі 80000 грн. </t>
    </r>
    <r>
      <rPr>
        <b/>
        <sz val="12"/>
        <rFont val="Times New Roman"/>
        <family val="1"/>
        <charset val="204"/>
      </rPr>
      <t xml:space="preserve">на медикаменти та перев'язувальні матеріали, співфінансування за рахунок субвенції з бюджету  Піщанобрідської сільської територіальної громади </t>
    </r>
    <r>
      <rPr>
        <sz val="12"/>
        <rFont val="Times New Roman"/>
        <family val="1"/>
        <charset val="204"/>
      </rPr>
      <t xml:space="preserve">для </t>
    </r>
    <r>
      <rPr>
        <b/>
        <sz val="12"/>
        <rFont val="Times New Roman"/>
        <family val="1"/>
        <charset val="204"/>
      </rPr>
      <t>КНП "Новоукраїнська міська лікарня"</t>
    </r>
    <r>
      <rPr>
        <sz val="12"/>
        <rFont val="Times New Roman"/>
        <family val="1"/>
        <charset val="204"/>
      </rPr>
      <t>, як одержувачу коштів управління соціального захисту та охорони здоров'я  Новоукраїнської міської ради  КЕКВ 2610 (рішення  Піщанобрідської  сільської ради від 20.12.2023 року № 1389 "Про бюджет Піщанобрідської  сільської територіальної громади на 2024 рік" із змінами внесеними рішенням Піщанобрідської  сільської ради від 11.11.2024 року № 1476)</t>
    </r>
  </si>
  <si>
    <t>19.11.2024     №188/01-29</t>
  </si>
  <si>
    <r>
      <t xml:space="preserve">Перерозподіл бюджетних призначень в межах виділених річних асигнувань в сумі 20000 грн.,   перенесення фінансування  на з КПКВ 0813242 КЕКВ 2730, збільшення </t>
    </r>
    <r>
      <rPr>
        <b/>
        <sz val="12"/>
        <rFont val="Times New Roman"/>
        <family val="1"/>
        <charset val="204"/>
      </rPr>
      <t xml:space="preserve">фінансування на надання підтримки ВПО </t>
    </r>
    <r>
      <rPr>
        <sz val="12"/>
        <rFont val="Times New Roman"/>
        <family val="1"/>
        <charset val="204"/>
      </rPr>
      <t>(придбання подарунків дітям ВПО) КЕКВ 2210</t>
    </r>
  </si>
  <si>
    <t>22.11.2024        №02-09/416</t>
  </si>
  <si>
    <r>
      <t xml:space="preserve">Перерозподіл бюджетних призначень в межах виділених річних асигнувань в сумі 1100 грн., перенесення фінансування  на КПКВ 0812011 КЕКВ 2610, збільшення фінансування </t>
    </r>
    <r>
      <rPr>
        <b/>
        <sz val="12"/>
        <rFont val="Times New Roman"/>
        <family val="1"/>
        <charset val="204"/>
      </rPr>
      <t>на оплату послуг(крім комунальних),  с</t>
    </r>
    <r>
      <rPr>
        <sz val="12"/>
        <rFont val="Times New Roman"/>
        <family val="1"/>
        <charset val="204"/>
      </rPr>
      <t xml:space="preserve">півфінансування за рахунок субвенції з бюджету </t>
    </r>
    <r>
      <rPr>
        <b/>
        <sz val="12"/>
        <rFont val="Times New Roman"/>
        <family val="1"/>
        <charset val="204"/>
      </rPr>
      <t xml:space="preserve">  Глодоської сільської територіальної громади </t>
    </r>
    <r>
      <rPr>
        <sz val="12"/>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</si>
  <si>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3080 грн., перенесення фінансування  на КПКВ 0812011 КЕКВ 2610, збільшення фінансування </t>
    </r>
    <r>
      <rPr>
        <b/>
        <sz val="12"/>
        <rFont val="Times New Roman"/>
        <family val="1"/>
        <charset val="204"/>
      </rPr>
      <t>на придбання медикаментів,  с</t>
    </r>
    <r>
      <rPr>
        <sz val="12"/>
        <rFont val="Times New Roman"/>
        <family val="1"/>
        <charset val="204"/>
      </rPr>
      <t xml:space="preserve">півфінансування за рахунок субвенції з бюджету </t>
    </r>
    <r>
      <rPr>
        <b/>
        <sz val="12"/>
        <rFont val="Times New Roman"/>
        <family val="1"/>
        <charset val="204"/>
      </rPr>
      <t xml:space="preserve">  Глодоської сільської територіальної громади </t>
    </r>
    <r>
      <rPr>
        <sz val="12"/>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</si>
  <si>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3080 грн. перенесення фінансування  з КПКВ 0812111 КЕКВ 2610, зменшення фінансування  </t>
    </r>
    <r>
      <rPr>
        <b/>
        <sz val="12"/>
        <rFont val="Times New Roman"/>
        <family val="1"/>
        <charset val="204"/>
      </rPr>
      <t xml:space="preserve">на інші виплати населенню, </t>
    </r>
    <r>
      <rPr>
        <sz val="12"/>
        <rFont val="Times New Roman"/>
        <family val="1"/>
        <charset val="204"/>
      </rPr>
      <t xml:space="preserve"> співфінансування за рахунок субвенції з бюджету </t>
    </r>
    <r>
      <rPr>
        <b/>
        <sz val="12"/>
        <rFont val="Times New Roman"/>
        <family val="1"/>
        <charset val="204"/>
      </rPr>
      <t xml:space="preserve"> Глодоської сільської територіальної громади </t>
    </r>
    <r>
      <rPr>
        <sz val="12"/>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t>
    </r>
  </si>
  <si>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t>
  </si>
  <si>
    <t>Перерозподіл бюджетних призначень в межах виділених річних асигнувань в сумі 389000 грн., перенесення фінансування  на КПКВ 0210150 КЕКВ 2240 в сумі 34500 грн., КПКВ 0215011 КЕКВ 2240 в сумі 30000 грн., КЕКВ 2800 в сумі 31000 грн., КПКВ 0216014 КЕКВ 2240 в сумі 65000 грн., КЕКВ 2275 в сумі 135000 грн., КПКВ 0216030 КЕКВ 2240 в сумі 50000 грн., КПКВ 0218420 КЕКВ 2240 в сумі 43500 грн.,за рахунок зменшення фінансуваннядляпо комунальному закладу "Новоукраїнський міський центр тимчасового проживання/перебування внутрішньо переміщених осіб", зокрема для виплати заробітної плати  в сумі  99500 грн., КЕКВ 2111, нарахування на заробітну плату в сумі 22000 грн. КЕКВ 2120, на оплату електроенергії  в сумі 32500 грн.  КЕКВ 2273 та для оплати інших енергоносіїв  в сумі 235000 грн.  КЕКВ 2275</t>
  </si>
  <si>
    <r>
      <t xml:space="preserve"> Перерозподіл бюджетних призначень в межах виділених річних асигнувань  в сумі 117,12 грн., збільшення фінансування</t>
    </r>
    <r>
      <rPr>
        <b/>
        <sz val="12"/>
        <color theme="1"/>
        <rFont val="Times New Roman"/>
        <family val="1"/>
        <charset val="204"/>
      </rPr>
      <t xml:space="preserve"> відповідно до клопотання начальника відділу з питань житлово-комунального господарства та Новоукраїнського ЖКП, на оплату плати порушнику за виконання суспільно-корисних робіт з нарахуваннями,  для перерахування її на відповідний рахунок органу державної виконавчої служби для подальшого погашення заборгованості зі сплати аліментів (плата за виконану боржником роботу) на виконання  Програми організації та проведення суспільно корисних робіт для порушників, на яких судом накладено адміністративне стягнення у вигляді виконання суспільно корисних робіт на 2023-2025 роки, як фінансову підтримку одержувачу коштів виконавчого комітету Новоукраїнської міської ради Новоукраїнському ЖКП,через головного розпорядника коштів виконавчий комітет Новоукраїнської міської ради КЕКВ 2610</t>
    </r>
    <r>
      <rPr>
        <sz val="12"/>
        <color theme="1"/>
        <rFont val="Times New Roman"/>
        <family val="1"/>
        <charset val="204"/>
      </rPr>
      <t xml:space="preserve">,  за рахунок перенесення фінансування  з КПКВ 0216020 КЕКВ 2610 </t>
    </r>
  </si>
  <si>
    <r>
      <t xml:space="preserve">Перерозподіл бюджетних призначень в межах виділених річних асигнувань в сумі 48800 грн,. перенесення фінансування  з КПКВ 0812111 КЕКВ 2610, збільшення фінансування </t>
    </r>
    <r>
      <rPr>
        <b/>
        <sz val="12"/>
        <rFont val="Times New Roman"/>
        <family val="1"/>
        <charset val="204"/>
      </rPr>
      <t xml:space="preserve">  на предмети матеріали обладнання та інвентар в сумі 30000 грн., на медикаменти та перев'язувальні матеріали в сумі 3200 грн., на оплату праці з нарахуванням в сумі 15600 грн.,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 (рішення  Рівнянської сільської ради від 19.12.2023 року №2096 "Про бюджет Рівнянської сільської територіальної громади на 2024 рік" із змінами внесеними рішенням  від  22.11.2024 року №2463)</t>
    </r>
  </si>
  <si>
    <t>02.12.2024     №796/01-14</t>
  </si>
  <si>
    <t>21081800</t>
  </si>
  <si>
    <t xml:space="preserve">03.12.2024        №194/01-29 </t>
  </si>
  <si>
    <r>
      <t xml:space="preserve"> Перерозподіл бюджетних призначень в межах виділених річних асигнувань  в сумі 300000 грн. перенесення фінансування  на КПКВ 0812010 КЕКВ 2610, а саме зменшення коштів на співфінансування</t>
    </r>
    <r>
      <rPr>
        <b/>
        <sz val="12"/>
        <rFont val="Times New Roman"/>
        <family val="1"/>
        <charset val="204"/>
      </rPr>
      <t xml:space="preserve"> проекту "Реконструкція будівель, споруд, комунікацій та облаштування прилеглої території комунального некомерційного підприємства "Новоукраїнська центральна районна лікарня" Новоукраїнської районної ради   (адреса 27100,  Кіровоградська область, м.Новоукраїнка, провулок Лікарняний, 1). Коригування", що буде виконуватись за рахунок субвенції з державного бюджету місцевим бюджетам на реалізацію проектів у рамках Програми з відновлення України, відповідно розпорядження Кабінету Міністрів України від 04 липня 2023 р. N 596-р "Про розподіл у 2023 році субвенції з державного бюджету місцевим бюджетам на реалізацію проектів у рамках Програми з відновлення України", у зв'язку з виробничою необхідністю </t>
    </r>
    <r>
      <rPr>
        <sz val="12"/>
        <rFont val="Times New Roman"/>
        <family val="1"/>
        <charset val="204"/>
      </rPr>
      <t xml:space="preserve"> КЕКВ 3142 </t>
    </r>
  </si>
  <si>
    <t xml:space="preserve">0611403 </t>
  </si>
  <si>
    <t>04.12.2024      №01-21/253</t>
  </si>
  <si>
    <t xml:space="preserve">Перерозподіл бюджетних призначень в межах виділених річних асигнувань  в сумі 10000 грн., збільшення фінансування на   по фінансовому управлінню Новоукраїнської міської ради, у зв'язку з недостатністю коштів для сплати єдиногосоціального  внеску на нарахування на заробітну плату (оплата лікарняних) КЕКВ 2120,  за рахунок перенесення фінансування  з КПКВ 0217693 КЕКВ 2240  </t>
  </si>
  <si>
    <r>
      <t xml:space="preserve">Зняття субвенції з державного бюджету в сумі 197700 грн.  </t>
    </r>
    <r>
      <rPr>
        <b/>
        <sz val="12"/>
        <rFont val="Times New Roman"/>
        <family val="1"/>
        <charset val="204"/>
      </rPr>
      <t xml:space="preserve">на оплату харчування учнів початкових класів закладів загальної середньої освіти у 2024 році, яке буде придбаватись за рахунок  коштів субвенції з державного бюджету місцевим бюджетам на забезпечення харчуванням учнів початкових класів закладів загальної середньої освіти у 2024 році, відповідно до постанови Кабінету Міністрів України від 26 листопада 2024 р. № 1169-р та розпорядження начальника Кіровоградської обласної військової адміністрації  </t>
    </r>
    <r>
      <rPr>
        <sz val="12"/>
        <rFont val="Times New Roman"/>
        <family val="1"/>
        <charset val="204"/>
      </rPr>
      <t>КЕКВ 2230</t>
    </r>
  </si>
  <si>
    <r>
      <t xml:space="preserve">Додаткові кошти в сумі 95000 грн. </t>
    </r>
    <r>
      <rPr>
        <b/>
        <sz val="12"/>
        <rFont val="Times New Roman"/>
        <family val="1"/>
        <charset val="204"/>
      </rPr>
      <t>на предмети, матеріали, обладанння та інвентар (паливно-мастильні матеріали, співфінансування за рахунок субвенції з бюджету  Рівнянської сільської територіальної громади для КНП "Новоукраїнська  міська лікарня"</t>
    </r>
    <r>
      <rPr>
        <sz val="12"/>
        <rFont val="Times New Roman"/>
        <family val="1"/>
        <charset val="204"/>
      </rPr>
      <t>, як одержувачу коштів управління соціального захисту та охорони здоров'я  Новоукраїнської міської ради, відповідно до рішення  Рівнянської сільської ради від 19.12.2023 року №2096 "Про бюджет Рівнянської сільської територіальної громади на 2024 рік" із змінами внесеними рішенням Рівнянської сільської ради від  22.11.2024 року №2463 КЕКВ 2610</t>
    </r>
  </si>
  <si>
    <t>06.12.2024 №135</t>
  </si>
  <si>
    <t xml:space="preserve">Перерозподіл бюджетних призначень в межах виділених річних асигнувань в сумі 14670 грн., перенесення фінансування на КПКВ 0215031 КЕКВ 2240, а саме зменшення фінансування  на оплату відрядження  КЕКВ 2250, у зв'язку з виробничою неохідністю та економією коштів. </t>
  </si>
  <si>
    <t>12.12.2024     №834/01-14</t>
  </si>
  <si>
    <t xml:space="preserve">13.12.2024        №202/01-29 </t>
  </si>
  <si>
    <r>
      <t xml:space="preserve"> Перерозподіл бюджетних призначень в межах виділених річних асигнувань в сумі 270280 грн., зменшення фінансування  на оплату послуг, крім комунальних (</t>
    </r>
    <r>
      <rPr>
        <b/>
        <sz val="12"/>
        <rFont val="Times New Roman"/>
        <family val="1"/>
        <charset val="204"/>
      </rPr>
      <t>оплата послуг з з монтажу блискавкозахисту на будівлях складу, харчоблоку та котельні)</t>
    </r>
    <r>
      <rPr>
        <sz val="12"/>
        <rFont val="Times New Roman"/>
        <family val="1"/>
        <charset val="204"/>
      </rPr>
      <t xml:space="preserve">  у  КНП "Новоукраїнська  міська лікарня" Новоукраїнської  міської ради, як одержувачу коштів управління соціального захисту та охорони здоров'я  Новоукраїнської міської ради КЕКВ 2610, за рахунок перенесення фінансування  з КПКВ 0812010 КЕКВ 2610</t>
    </r>
  </si>
  <si>
    <t xml:space="preserve"> Перерозподіл бюджетних призначень в межах виділених річних асигнувань в сумі 57200 грн. перенесення фінансування  з КПКВ 0812010 КЕКВ 2610, збільшення фінансування на інші виплати населенню  КНП "Новоукраїнська  міська лікарня"на виконання Програми місцевих стимулів для медичних працівників Новоукраїнської міської територіальної громади на 2021-2025 роки (нова редакція), як одержувачу коштів управління соціального захисту та охорони здоров'я  Новоукраїнської міської ради КЕКВ 2610</t>
  </si>
  <si>
    <t xml:space="preserve"> Перерозподіл бюджетних призначень в межах виділених річних асигнувань в сумі 36000 грн., зменшення фінансування  на оплату комунальних послуг та енергоносіїв для КНП "Новоукраїнська  міська лікарня" Новоукраїнської  міської ради, як одержувачу коштів управління соціального захисту та охорони здоров'я  Новоукраїнської міської ради КЕКВ 2610, за рахунок перенесення фінансування  на КПКВ 0812010 КЕКВ 2610. </t>
  </si>
  <si>
    <t xml:space="preserve"> Перерозподіл бюджетних призначень в межах виділених річних асигнувань в сумі 9349 грн. перенесення фінансування  на КПКВ 0812010 КЕКВ 2610, зменшення фінансування на інші виплати населенню  КНП "Новоукраїнська  міська лікарня"на виконання Програми розвитку, підтримки комунальних закладів охорони здоров’я та надання медичних послуг жителям Новоукраїнської міської територіальної громади понад обсяг, передбачений програмою державних гарантій медичного обслуговування населення, на 2021-2026 роки, як одержувачу коштів управління соціального захисту та охорони здоров'я  Новоукраїнської міської ради КЕКВ 2610</t>
  </si>
  <si>
    <t>13.12.2024        №79</t>
  </si>
  <si>
    <t>Перерозподіл бюджетних призначень в межах виділених річних асигнувань в сумі 2000 грн. перенесення фінансування  на КПКВ 0812111 КЕКВ 2610, зменшення фінансування  на медикаменти та перев'язувальні матеріали, співфінансування за рахунок субвенції з бюджету Ганнівської  сільської територіальної громади 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 відповідно до рішення  Ганнівської сільської  ради  від 25.12.2023 року №  1483 "Про  бюджет   Ганнівської сільської  територіальної громади на 2024 рік" в редакції рішення  Ганнівської сільської ї ради від 13.12.2024 року № 1599</t>
  </si>
  <si>
    <r>
      <t xml:space="preserve">Перерозподіл бюджетних призначень в межах виділених річних асигнувань в сумі 46800 грн. перенесення фінансування  на КПКВ 0812111 КЕКВ 2610, зменшення фінансування  </t>
    </r>
    <r>
      <rPr>
        <b/>
        <sz val="12"/>
        <rFont val="Times New Roman"/>
        <family val="1"/>
        <charset val="204"/>
      </rPr>
      <t>на відрядження</t>
    </r>
    <r>
      <rPr>
        <sz val="12"/>
        <rFont val="Times New Roman"/>
        <family val="1"/>
        <charset val="204"/>
      </rPr>
      <t>, співфінансування за рахунок субвенції з бюджету Ганнівської  сільської територіальної громади 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 відповідно до рішення  Ганнівської сільської  ради  від 25.12.2023 року №  1483 "Про  бюджет   Ганнівської сільської  територіальної громади на 2024 рік" в редакції рішення  Ганнівської сільської ї ради від 13.12.2024 року № 1599</t>
    </r>
  </si>
  <si>
    <r>
      <t xml:space="preserve">Перерозподіл бюджетних призначень в межах виділених річних асигнувань в сумі 2500 грн. перенесення фінансування  з КПКВ 0812111 КЕКВ 2610, збільшення фінансування </t>
    </r>
    <r>
      <rPr>
        <b/>
        <sz val="12"/>
        <rFont val="Times New Roman"/>
        <family val="1"/>
        <charset val="204"/>
      </rPr>
      <t>оплата послуг (крім комунальних)</t>
    </r>
    <r>
      <rPr>
        <sz val="12"/>
        <rFont val="Times New Roman"/>
        <family val="1"/>
        <charset val="204"/>
      </rPr>
      <t>,</t>
    </r>
    <r>
      <rPr>
        <b/>
        <sz val="12"/>
        <rFont val="Times New Roman"/>
        <family val="1"/>
        <charset val="204"/>
      </rPr>
      <t xml:space="preserve"> </t>
    </r>
    <r>
      <rPr>
        <sz val="12"/>
        <rFont val="Times New Roman"/>
        <family val="1"/>
        <charset val="204"/>
      </rPr>
      <t>співфінансування за рахунок субвенції з бюджету Ганнівської  сільської територіальної громади 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 відповідно до рішення  Ганнівської сільської  ради  від 25.12.2023 року №  1483 "Про  бюджет   Ганнівської сільської  територіальної громади на 2024 рік" в редакції рішення  Ганнівської сільської ї ради від 13.12.2024 року № 1599</t>
    </r>
  </si>
  <si>
    <r>
      <t xml:space="preserve">Перерозподіл бюджетних призначень в межах виділених річних асигнувань в сумі 10980 грн. перенесення фінансування  з КПКВ 0812111 КЕКВ 2610, збільшення фінансування </t>
    </r>
    <r>
      <rPr>
        <b/>
        <sz val="12"/>
        <rFont val="Times New Roman"/>
        <family val="1"/>
        <charset val="204"/>
      </rPr>
      <t xml:space="preserve"> на оплату праці з нарахуванням працівникам ФАП та ФП</t>
    </r>
    <r>
      <rPr>
        <sz val="12"/>
        <rFont val="Times New Roman"/>
        <family val="1"/>
        <charset val="204"/>
      </rPr>
      <t>,</t>
    </r>
    <r>
      <rPr>
        <b/>
        <sz val="12"/>
        <rFont val="Times New Roman"/>
        <family val="1"/>
        <charset val="204"/>
      </rPr>
      <t xml:space="preserve"> </t>
    </r>
    <r>
      <rPr>
        <sz val="12"/>
        <rFont val="Times New Roman"/>
        <family val="1"/>
        <charset val="204"/>
      </rPr>
      <t>співфінансування за рахунок субвенції з бюджету Ганнівської  сільської територіальної громади 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 відповідно до рішення  Ганнівської сільської  ради  від 25.12.2023 року №  1483 "Про  бюджет   Ганнівської сільської  територіальної громади на 2024 рік" в редакції рішення  Ганнівської сільської ї ради від 13.12.2024 року № 1599</t>
    </r>
  </si>
  <si>
    <r>
      <t xml:space="preserve">Перерозподіл бюджетних призначень в межах виділених річних асигнувань в сумі 35320 грн. перенесення фінансування  з КПКВ 0812111 КЕКВ 2610, збільшення фінансування </t>
    </r>
    <r>
      <rPr>
        <b/>
        <sz val="12"/>
        <rFont val="Times New Roman"/>
        <family val="1"/>
        <charset val="204"/>
      </rPr>
      <t>на оплату комунальних послуг та енергоносіїв</t>
    </r>
    <r>
      <rPr>
        <sz val="12"/>
        <rFont val="Times New Roman"/>
        <family val="1"/>
        <charset val="204"/>
      </rPr>
      <t>,</t>
    </r>
    <r>
      <rPr>
        <b/>
        <sz val="12"/>
        <rFont val="Times New Roman"/>
        <family val="1"/>
        <charset val="204"/>
      </rPr>
      <t xml:space="preserve"> </t>
    </r>
    <r>
      <rPr>
        <sz val="12"/>
        <rFont val="Times New Roman"/>
        <family val="1"/>
        <charset val="204"/>
      </rPr>
      <t>співфінансування за рахунок субвенції з бюджету Ганнівської  сільської територіальної громади 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 відповідно до рішення  Ганнівської сільської  ради  від 25.12.2023 року №  1483 "Про  бюджет   Ганнівської сільської  територіальної громади на 2024 рік" в редакції рішення  Ганнівської сільської ї ради від 13.12.2024 року № 1599</t>
    </r>
  </si>
  <si>
    <t xml:space="preserve">Перерозподіл бюджетних призначень в межах виділених річних асигнувань в сумі 240 грн., перенесення фінансування на КПКВ 0215031 КЕКВ 2240, а саме зменшення фінансування  на оплату водопостачання  КЕКВ 2272, у зв'язку з виробничою неохідністю та економією коштів. </t>
  </si>
  <si>
    <t>17.12.2024        №210/01-29</t>
  </si>
  <si>
    <t>Додаткові кошти  в сумі 1355858,81 грн.  для  виплати грошової компенсації за належні для отримання жилі приміщення   КЕКВ 3240, за рахунок субвенції з державного бюджету, відповідно до розпорядження Кабінету Міністрів України від 08.10.2016 року  № 719-р "Питання забезпечення житлом деяких категорій осіб, які захищали незалежність, суверенітет та територіальну цілісність України, а також членів їх сімей",  згідно з повідомленням Кіровоградської обласної військової про можливе виділення коштів.</t>
  </si>
  <si>
    <r>
      <t xml:space="preserve">Перерозподіл бюджетних призначень в межах виділених річних асигнувань в сумі 15000 грн., перенесення фінансування  з КПКВ 0812111 КЕКВ 2610, збільшення фінансування,  на предмети матеріали обладнання та інвентар </t>
    </r>
    <r>
      <rPr>
        <b/>
        <sz val="12"/>
        <rFont val="Times New Roman"/>
        <family val="1"/>
        <charset val="204"/>
      </rPr>
      <t xml:space="preserve"> для КНП "Центр первинної медико-санітарної допомоги", </t>
    </r>
    <r>
      <rPr>
        <sz val="12"/>
        <rFont val="Times New Roman"/>
        <family val="1"/>
        <charset val="204"/>
      </rPr>
      <t xml:space="preserve"> як одержувача коштів управління соціального захисту та охорони здоров'я  Новоукраїнської міської ради  КЕКВ 2610 </t>
    </r>
  </si>
  <si>
    <r>
      <t xml:space="preserve">Додаткові кошти  в сумі 3627600 грн. </t>
    </r>
    <r>
      <rPr>
        <b/>
        <sz val="12"/>
        <rFont val="Times New Roman"/>
        <family val="1"/>
        <charset val="204"/>
      </rPr>
      <t xml:space="preserve">збільшення фінансування для виплати заробітної плати працівникам загальноосвітніх  навчальних закладів </t>
    </r>
    <r>
      <rPr>
        <sz val="12"/>
        <rFont val="Times New Roman"/>
        <family val="1"/>
        <charset val="204"/>
      </rPr>
      <t xml:space="preserve"> в сумі  2973443 грн., КЕКВ 2111 та  нарахування на заробітну плату в сумі 654157 грн. КЕКВ 2120,  за рахунок  додаткової дотації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 відповідно розпорядження Кабінету Міністрів України від 20 квітня 2024 р. N 1444-р, для недопущення заборгованості з виплати заробітної плати працівникам загальноосвітніх  навчальних закладів, зокрема і у зв'язку з недостатністю коштів освітньої субвенції. Внести зміни до Міської Програми розвитку  освіти Новоукраїнської міської  територіальної громади на 2024-2028 роки. </t>
    </r>
  </si>
  <si>
    <t>20.12.2024        №25/01-29</t>
  </si>
  <si>
    <t>Перерозподіл бюджетних призначень в межах виділених річних асигнувань  в сумі 3500 грн., перенесення фінансування  на КПКВ 3710160 КЕКВ 2111 в сумі   3000 грн. та КЕКВ 2120 в сумі 500 грн., а саме зменшення фінансування на виплату заробітної плати  в сумі 3000 грн. КЕКВ 2111, нарахування на заробітну плату в сумі 500 грн. КЕКВ 2120  згідно цивільно-правових  договорів  на виконання громадських робіт Новоукраїнської міської територіальної громади</t>
  </si>
  <si>
    <t xml:space="preserve">Перерозподіл бюджетних призначень в межах виділених річних асигнувань  в сумі 3500 грн., збільшення фінансування на виплату заробітної плати  в сумі 3000 грн. КЕКВ 2111, нарахування на заробітну плату в сумі 500 грн. КЕКВ 2120  по фінансовому управлінню Новоукраїнської міської ради, у зв'язку з недостатністю коштів,  за рахунок перенесення фінансування  з КПКВ 0213210 КЕКВ 2111 в сумі   3000 грн. та КЕКВ 2120 в сумі 500 грн. </t>
  </si>
  <si>
    <t xml:space="preserve">0611031 </t>
  </si>
  <si>
    <t xml:space="preserve">Перерозподіл бюджетних призначень в межах виділених річних асигнувань в сумі 25660,35 грн., перенесення фінансування  з  КПКВ 0611031  КЕКВ 2120, збільшення фінансування для виплати заробітної плати педагогічним працівникам загальноосвітніх  навчальних закладів КЕКВ 2111, у зв'язку із  виробничою необхідністю  </t>
  </si>
  <si>
    <t xml:space="preserve">Зняти кошти спеціального фонду в сумі 10000 грн. по платі за послуги, що надаються бюджетними установами, згідно з їх основною діяльністю, передбачені в бюджеті  Новоукраїнської міської територіальної громади по  КУ "Центр соціальних послуг Новоукраїнської міської ради Кіровоградської області", у зв'язку з звільненням від сплати за соціальні послуги всіх осіб, які перебувають на обліку в комунальній установі на період введення військового стану, а саме зменшити видатки в сумі 8000 грн. КЕКВ 2210 та в сумі 2000 грн. КЕКВ 2240. </t>
  </si>
  <si>
    <t xml:space="preserve">Зняти кошти спеціального фонду в сумі 1858,04 грн. по платі за послуги, що надаються бюджетними установами, згідно з їх основною діяльністю, передбачені в бюджеті  Новоукраїнської міської територіальної громади по   палацу культури "Ювілейний", у зв'язку з зменшенням надходжень, а саме зменшити видатки  по КЕКВ 2240. </t>
  </si>
  <si>
    <r>
      <t xml:space="preserve">Перерозподіл бюджетних призначень в межах виділених річних асигнувань в сумі 15000 грн. перенесення фінансування  з КПКВ 0812111 КЕКВ 2610, збільшення фінансування  на придбання медикаментів (для проведення протиепідемічних заходів) </t>
    </r>
    <r>
      <rPr>
        <b/>
        <sz val="12"/>
        <rFont val="Times New Roman"/>
        <family val="1"/>
        <charset val="204"/>
      </rPr>
      <t xml:space="preserve">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</si>
  <si>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 xml:space="preserve">Перерозподіл бюджетних призначень в межах виділених річних асигнувань в сумі 30000 грн. перенесення фінансування  з КПКВ 0812111 КЕКВ 2610, зменшення фінансування  </t>
    </r>
    <r>
      <rPr>
        <b/>
        <sz val="12"/>
        <rFont val="Times New Roman"/>
        <family val="1"/>
        <charset val="204"/>
      </rPr>
      <t xml:space="preserve">на оплату комунальних послуг та енергоносіїв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</si>
  <si>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t xml:space="preserve">Зняти кошти спеціального фонду в сумі 2452,50 грн. по платі за послуги, що надаються бюджетними установами, згідно з їх основною діяльністю, передбачені в бюджеті  Новоукраїнської міської територіальної громади по  музичній школі, у зв'язку з зменшенням надходжень, а саме зменшити видатки  по КЕКВ 2210 </t>
  </si>
  <si>
    <t>Базова дотація</t>
  </si>
  <si>
    <t>Надходження бюджетних установ від реалізації в установленому порядку майна (крім нерухомого майна)</t>
  </si>
  <si>
    <t>25010400</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</si>
  <si>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</si>
  <si>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електронних сигаретах, та пального"</t>
  </si>
  <si>
    <t>бюджету Новоукраїнської міської територіальної громади на 2025 рік</t>
  </si>
  <si>
    <t>РОЗПОДІЛ
видатків бюджету Новоукраїнської міської територіальної громади на 2025 рік</t>
  </si>
  <si>
    <t>Інші заходи у сфері медіа (засобів масової інформації)</t>
  </si>
  <si>
    <t>у тому числі за рахунок дотацій з державного бюджету</t>
  </si>
  <si>
    <t>Надання загальної середньої освіти закладами загальної середньої освіти за рахунок освітньої субвенції</t>
  </si>
  <si>
    <t>Забезпечення діяльності інклюзивно-ресурсних центрів за рахунок освітньої субвенції</t>
  </si>
  <si>
    <t>1014084</t>
  </si>
  <si>
    <t>4084</t>
  </si>
  <si>
    <t>Проектування, реставрація та охорона пам'яток культурної спадщини</t>
  </si>
  <si>
    <t>у тому числі за рахунок інших дотацій з державного бюджету</t>
  </si>
  <si>
    <t>Міжбюджетні трансферти на 2025 рік</t>
  </si>
  <si>
    <t>41020100</t>
  </si>
  <si>
    <t>Базова дотація </t>
  </si>
  <si>
    <t xml:space="preserve">Розподіл витрат бюджету Новоукраїнської міської  територіальної громади  на реалізацію місцевих/регіональних програм у 2025 році 
</t>
  </si>
  <si>
    <t>Програма соціально-економічного та культурного розвитку Новоукраїнської міської територіальної громади на 2025 рік</t>
  </si>
  <si>
    <t>Рішення міської ради № 1690 від 30.10.2024 року</t>
  </si>
  <si>
    <t xml:space="preserve">Комплексна  Програма підтримки військовослужбовців Сил територіальної оборони та Збройних Сил України на 2025 рік                                                                            </t>
  </si>
  <si>
    <t xml:space="preserve">Рішення міської ради № 1702 від 30.10.2024 року                                                                                               </t>
  </si>
  <si>
    <t>Рішення міської ради № 1706 від 30.10.2024 року</t>
  </si>
  <si>
    <t xml:space="preserve">Комплексна  Програма підтримки військовослужбовців Сил територіальної оборони та Збройних Сил України на 2025 рік </t>
  </si>
  <si>
    <t>Рішення міської ради № 1702 від 30.10.2024 року</t>
  </si>
  <si>
    <t xml:space="preserve">                                                                 20 грудня 2024 року № 1781 (в редакції рішення </t>
  </si>
  <si>
    <t xml:space="preserve">20 грудня 2024 року № 1781 (в редакції рішення  </t>
  </si>
  <si>
    <t xml:space="preserve">20 грудня 2024 року № 1781 (в редакції рішення </t>
  </si>
  <si>
    <t xml:space="preserve">Додаток  8    
до рішення Новоукраїнської міської ради  восьмого скликання                                                                                                                                          20 грудня 2024 року № 1781 (в редакції рішення      </t>
  </si>
  <si>
    <t>Додаткові кошти  в сумі 1014400 грн.  на закупівлю засобів навчання та обладнання, комп'ютерного та мультимедійного обладнання для   навчальних кабінетів природничої галузі освіти   закладів загальної середньої освіти, яке буде придбаватись за рахунок  коштів субвенції з державного бюджету місцевим бюджетам на забезпечення якісної, сучасної та доступної загальної середньої освіти "Нова українська школа", відповідно до постанови КМУ від 31 грудня 2024 року №1554 "Деякі питання надання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 у 2025 році"  КЕКВ 3110</t>
  </si>
  <si>
    <t xml:space="preserve">Додаткові кошти  в сумі 2788900 грн., за рахунок  субвенції з державного бюджету місцевим бюджетам на здійснення доплат педагогічним працівникам закладів загальної середньої освіти,  а саме  на виплату заробітної плати  в сумі 2285984 грн. КЕКВ 2111 та нарахування на заробітну плату в сумі 502916 грн. КЕКВ 2120, згідно постанови КМУ від 27 грудня 2024 року №1515 "Деякі питання використання субвенції з державного бюджету місцевим бюджетам на здійснення доплат педагогічним працівникам закладів загальної середньої освіти" </t>
  </si>
  <si>
    <r>
      <t xml:space="preserve">Додаткові кошти  в сумі 188100 грн., </t>
    </r>
    <r>
      <rPr>
        <b/>
        <sz val="12"/>
        <rFont val="Times New Roman"/>
        <family val="1"/>
        <charset val="204"/>
      </rPr>
      <t xml:space="preserve">за рахунок  субвенції з державного бюджету місцевим бюджетам на надання державної підтримки особам з особливими освітніми потребами,  а саме  на виплату заробітної плати  в сумі 154180 грн. КЕКВ 2111 та нарахування на заробітну плату в сумі 33920 грн. </t>
    </r>
    <r>
      <rPr>
        <sz val="12"/>
        <rFont val="Times New Roman"/>
        <family val="1"/>
        <charset val="204"/>
      </rPr>
      <t xml:space="preserve">КЕКВ 2120, згідно постанови КМУ від 27 грудня 2024 року №1519 "Деякі питання використання субвенції з державного бюджету місцевим бюджетам на надання державної підтримки особам з особливими освітніми потребами у 2025 році" </t>
    </r>
  </si>
  <si>
    <t>Надання загальної середньої освіти закладами загальної середньої освіти за рахунок  місцевого бюджету</t>
  </si>
  <si>
    <t xml:space="preserve">Надання загальної середньої освіти закладами загальної середньої освіти за рахунок освітньої субвенції </t>
  </si>
  <si>
    <t>0611600</t>
  </si>
  <si>
    <t>1600</t>
  </si>
  <si>
    <t xml:space="preserve">0611600 </t>
  </si>
  <si>
    <t>Субвенція з державного бюджету місцевим бюджетам на здійснення доплат педагогічним працівникам закладів загальної середньої освіти</t>
  </si>
  <si>
    <t>Субвенція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</si>
  <si>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Співфінансування заходів, що реалізуються за рахунок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t>
  </si>
  <si>
    <t>0611183</t>
  </si>
  <si>
    <t>0611184</t>
  </si>
  <si>
    <t>1183</t>
  </si>
  <si>
    <t>1184</t>
  </si>
  <si>
    <t>Виконання заходів, спрямованих на реалізацію публічного інвестиційного проекту на забезпечення якісної, сучасної та доступної загальної середньої освіти «Нова українська школа» за рахунок субвенції з державного бюджету місцевим бюджетам</t>
  </si>
  <si>
    <t>Здійснення доплат педагогічним працівникам закладів загальної середньої освіти за рахунок субвенції з державного бюджету місцевим бюджетам</t>
  </si>
  <si>
    <t>2020-2025</t>
  </si>
  <si>
    <t>капітальних вкладень бюджету у розрізі інвестиційних проектів у 2025 році в новій редакції</t>
  </si>
  <si>
    <r>
      <t xml:space="preserve">Додаткові кошти в сумі 1000000 грн.,  </t>
    </r>
    <r>
      <rPr>
        <b/>
        <sz val="12"/>
        <rFont val="Times New Roman"/>
        <family val="1"/>
        <charset val="204"/>
      </rPr>
      <t>на оплати електроенергії по вуличному освітленню</t>
    </r>
    <r>
      <rPr>
        <sz val="12"/>
        <rFont val="Times New Roman"/>
        <family val="1"/>
        <charset val="204"/>
      </rPr>
      <t>, у зв'язку збільшенням вартості та кількості електроенергії КЕКВ 2273</t>
    </r>
    <r>
      <rPr>
        <b/>
        <sz val="12"/>
        <rFont val="Times New Roman"/>
        <family val="1"/>
        <charset val="204"/>
      </rPr>
      <t xml:space="preserve">, </t>
    </r>
    <r>
      <rPr>
        <sz val="12"/>
        <rFont val="Times New Roman"/>
        <family val="1"/>
        <charset val="204"/>
      </rPr>
      <t>за рахунок  вільного залишку коштів загального фонду бюджету Новоукраїнської  міської територіальної громади станом на 01.01.2025 року, відповідно до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t>
    </r>
  </si>
  <si>
    <t>25.12.2024          № 17043/113-2024</t>
  </si>
  <si>
    <r>
      <t>Додаткові кошти в сумі 458474 грн.  для виплати заробітної плати  працівникам управління соціального захисту та охорони здоров'я в сумі  375798 грн., КЕКВ 2111 та  нарахування на заробітну плату в сумі 82676 грн. КЕКВ 2120, за рахунок  вільного залишку коштів загального фонду бюджету Новоукраїнської  міської територіальної громади станом на 01.01.2025 року,  що утворився за рахунок додаткової дотації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 відповідно розпорядження Кабінету Міністрів України від 20 грудня 2024 р. N 1444-р,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у зв'язку із внесеними змінами до структури</t>
    </r>
  </si>
  <si>
    <t>20.01.2025     №9/01-29</t>
  </si>
  <si>
    <r>
      <t xml:space="preserve">Субвенція державному бюджету в сумі 150000 грн.на виконання програм соціально-економічного розвитку регіонів з бюджету Новоукраїнської  міської територіальної громади </t>
    </r>
    <r>
      <rPr>
        <b/>
        <sz val="12"/>
        <rFont val="Times New Roman"/>
        <family val="1"/>
        <charset val="204"/>
      </rPr>
      <t xml:space="preserve">на виконання програми "Поліцейський офіцер громади" Новоукраїнської  міської територіальної громади   на  2022 – 2025 роки за поточними видатками , зокрема для придбання паливо-мастильних матеріалів (бензин), канцтоварів та оплату послуг з технічного обслуговування службового автомобіля </t>
    </r>
    <r>
      <rPr>
        <sz val="12"/>
        <rFont val="Times New Roman"/>
        <family val="1"/>
        <charset val="204"/>
      </rPr>
      <t>для створення належних умов для діяльності поліцейських офіцерів громади Новоукраїнського РВП ГУНП в Кіровоградській області,  через Головне управління Національної поліції в Кіровоградській області,  як головного розпорядника коштів, як установі, що фінансується з державного бюджету, за рахунок  вільного залишку коштів загального фонду бюджету Новоукраїнської  міської територіальної громади станом на 01.01.2025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КЕКВ 2620</t>
    </r>
  </si>
  <si>
    <r>
      <t>Додаткові кошти  в сумі 28000 грн. на реалізацію   Комплексної  Програми підтримки військовослужбовців Сил територіальної оборони та Збройних Сил України на 2024 рік  (пункт 6 Програми), на виконання поставлених бойових завдань для придбання товарів подвійного призначення для потреб Сил територіальної оборони  для забезпечення готовності підрозділів Сил територіальної оборони, ЗСУ до виконання завдань за призначенням, як заходи та роботи з територіальної оборони, з подальшою передачею відповідно до рішення міської ради та акта для потреб територіальної оборони (військової частини), відповідно до листа від 19.08.2024 року №934 та вхідного листа від 22.08.2024 року № 3025/01-25 на чотири підсилювача сигналу БПЛА та чотири кабелі 7dbF 15м для БПЛА, за рахунок  вільного залишку коштів загального фонду бюджету Новоукраїнської  міської територіальної громади станом на 01.01.2024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КЕКВ 2210. </t>
    </r>
  </si>
  <si>
    <t xml:space="preserve">Програма "Розвиток та удосконалення цивільного захисту населення Новоукраїнської міської територіальної громади на 2018-2027 роки" </t>
  </si>
  <si>
    <t>Рішення міської ради № 1698 від 30.10.2024 року</t>
  </si>
  <si>
    <t>Програма підтримки суб’єктів малого і середнього бізнесу на території Новоукраїнської міської ради на 2017-2030 року</t>
  </si>
  <si>
    <t>Рішення міської ради № 1697  від 30.10.2024 року</t>
  </si>
  <si>
    <t>Програма регулювання чисельності безпритульних тварин в населених пунктах Новоукраїнської міської територіальної громади на 2023-2025 роки</t>
  </si>
  <si>
    <t>Міська  програма "Питна  вода  на  2021-2028 роки"</t>
  </si>
  <si>
    <r>
      <t xml:space="preserve"> Перерозподіл бюджетних призначень в межах виділених річних асигнувань  в сумі 40000 грн., зменшення фінансування</t>
    </r>
    <r>
      <rPr>
        <b/>
        <sz val="12"/>
        <rFont val="Times New Roman"/>
        <family val="1"/>
        <charset val="204"/>
      </rPr>
      <t xml:space="preserve"> на оплату електроенергії по вуличному освітленню </t>
    </r>
    <r>
      <rPr>
        <sz val="12"/>
        <rFont val="Times New Roman"/>
        <family val="1"/>
        <charset val="204"/>
      </rPr>
      <t xml:space="preserve">Новоукраїнської міської територіальної громади, у зв'язку з необхідністю КЕКВ 2273.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  за рахунок перенесення фінансування  на КПКВ 0216090  КЕКВ 2210 </t>
    </r>
  </si>
  <si>
    <r>
      <t xml:space="preserve"> Перерозподіл бюджетних призначень в межах виділених річних асигнувань  в сумі 55000 грн., зменшення фінансування</t>
    </r>
    <r>
      <rPr>
        <b/>
        <sz val="12"/>
        <rFont val="Times New Roman"/>
        <family val="1"/>
        <charset val="204"/>
      </rPr>
      <t xml:space="preserve"> на оплату електроенергії по вуличному освітленню </t>
    </r>
    <r>
      <rPr>
        <sz val="12"/>
        <rFont val="Times New Roman"/>
        <family val="1"/>
        <charset val="204"/>
      </rPr>
      <t xml:space="preserve">Новоукраїнської міської територіальної громади, у зв'язку з необхідністю КЕКВ 2273.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  за рахунок перенесення фінансування  на КПКВ 0217693  КЕКВ 2240 </t>
    </r>
  </si>
  <si>
    <t>23.01.2025 б/н</t>
  </si>
  <si>
    <r>
      <t xml:space="preserve"> Перерозподіл бюджетних призначень в межах виділених річних асигнувань  в сумі 23000 грн., зменшення фінансування</t>
    </r>
    <r>
      <rPr>
        <b/>
        <sz val="12"/>
        <rFont val="Times New Roman"/>
        <family val="1"/>
        <charset val="204"/>
      </rPr>
      <t xml:space="preserve"> на оплату електроенергії по вуличному освітленню </t>
    </r>
    <r>
      <rPr>
        <sz val="12"/>
        <rFont val="Times New Roman"/>
        <family val="1"/>
        <charset val="204"/>
      </rPr>
      <t xml:space="preserve">Новоукраїнської міської територіальної громади, у зв'язку з необхідністю КЕКВ 2273.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  за рахунок перенесення фінансування  на КПКВ 0217650  КЕКВ 2281 </t>
    </r>
  </si>
  <si>
    <r>
      <t xml:space="preserve">Перерозподіл бюджетних призначень в межах виділених річних асигнувань в сумі 40000 грн., перенесення фінансування з КПКВ 0216030 КЕКВ 2273,  збільшення фінансування </t>
    </r>
    <r>
      <rPr>
        <b/>
        <sz val="12"/>
        <rFont val="Times New Roman"/>
        <family val="1"/>
        <charset val="204"/>
      </rPr>
      <t xml:space="preserve">на придбання кормів для безпритульних тварин для тимчасової перетримки тварин після стерилізації та інше  </t>
    </r>
    <r>
      <rPr>
        <sz val="12"/>
        <rFont val="Times New Roman"/>
        <family val="1"/>
        <charset val="204"/>
      </rPr>
      <t>на виконання Програми регулювання чисельності безпритульних тварин в населених пунктах Новоукраїнської міської територіальної громади на 2023-2025 роки КЕКВ 2210</t>
    </r>
  </si>
  <si>
    <r>
      <t xml:space="preserve">Перерозподіл бюджетних призначень в межах виділених річних асигнувань в сумі 23000 грн., перенесення фінансування з   КПКВ 0216030  КЕКВ 2273,  збільшення фінансування </t>
    </r>
    <r>
      <rPr>
        <b/>
        <sz val="12"/>
        <rFont val="Times New Roman"/>
        <family val="1"/>
        <charset val="204"/>
      </rPr>
      <t>на виготовлення та оплату експертно-грошової оцінки двох земельних ділянок несільськогосподарського призначення</t>
    </r>
    <r>
      <rPr>
        <sz val="12"/>
        <rFont val="Times New Roman"/>
        <family val="1"/>
        <charset val="204"/>
      </rPr>
      <t xml:space="preserve"> КЕКВ 2281, у зв'язку із зміною законодавтсва та виникненням потреби в доопрацюванні містобудівної документації "Історико-архітектурний опорний план м.Новоукраїнка з визначення меж та режимів зон охорони пам'яток, історичних ореалів".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  КЕКВ 2281 (бюджет розвитку)</t>
    </r>
  </si>
  <si>
    <t>13.01.2025        №21/01-14</t>
  </si>
  <si>
    <t>15.01.2025        №26/01-14</t>
  </si>
  <si>
    <t xml:space="preserve">ПОЯСНЮВАЛЬНА ЗАПИСКА ДО  РІШЕННЯ НОВОУКРАЇНСЬКОЇ МІСЬКОЇ РАДИ "Про  внесення  змін до рішення  міської ради від  20 грудня  2024  року  № 1781
"Про  бюджет  Новоукраїнської  міської територіальної громади на 2025 рік"
</t>
  </si>
  <si>
    <t>ен.</t>
  </si>
  <si>
    <t>зп</t>
  </si>
  <si>
    <t>соцзахист</t>
  </si>
  <si>
    <t>ЗСУ</t>
  </si>
  <si>
    <t>співфінансування проектів</t>
  </si>
  <si>
    <r>
      <t>Додаткові кошти  в сумі 112712 грн. на співфінансування на закупівлю засобів навчання та обладнання, комп'ютерного та мультимедійного обладнання для   навчальних кабінетів природничої галузі освіти   закладів загальної середньої освіти, яке буде придбаватись за рахунок  коштів субвенції з державного бюджету місцевим бюджетам на забезпечення якісної, сучасної та доступної загальної середньої освіти "Нова українська школа", відповідно до постанови КМУ від 31 грудня 2024 року №1554 "Деякі питання надання субвенції з державного бюджету місцевим бюджетам на реалізацію публічного інвестиційного проекту на забезпечення якісної, сучасної та доступної загальної середньої освіти “Нова українська школа” у 2025 році", за рахунок залишку коштів загального фонду бюджету  Новоукраїнської  міської територіальної громади станом на 01.01.2025 року, відповідно до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КЕКВ 3110 капітальні видатки</t>
    </r>
  </si>
  <si>
    <t>залишки</t>
  </si>
  <si>
    <t>Передача коштів із спеціального до загального фонду бюджету </t>
  </si>
  <si>
    <t>з них за рахунок дотацій</t>
  </si>
  <si>
    <t>602302</t>
  </si>
  <si>
    <t>Передача коштів із спеціального до загального фонду бюджету</t>
  </si>
  <si>
    <t>Рішення міської ради № 1272 від 10.10.2023 року</t>
  </si>
  <si>
    <t>13.01.2025 №199/01-21 та 24.01.2025 №411/01-21</t>
  </si>
  <si>
    <t>28.01.2025        №14/01-29</t>
  </si>
  <si>
    <t>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за рахунок відповідної субвенції з державного бюджету</t>
  </si>
  <si>
    <t>Субвенція з державного бюджету місцевим бюджетам на надання державної підтримки особам з особливими освітніми потребами</t>
  </si>
  <si>
    <t xml:space="preserve">бюджету Новоукраїнської міської територіальної громади на 2025 рік </t>
  </si>
  <si>
    <t>бюджету Новоукраїнської міської територіальної громади на 2025 рік в новій редакції</t>
  </si>
  <si>
    <t xml:space="preserve">ЗМІНИ до РОЗПОДІЛУ
видатків бюджету Новоукраїнської міської територіальної громади на 2025 рік  </t>
  </si>
  <si>
    <t xml:space="preserve">у тому числі за рахунок залишку коштів дотацій </t>
  </si>
  <si>
    <r>
      <t>Додаткові кошти  в сумі 755854 грн., зокрема для виплати заробітної плати  працівникам КУ Новоукраїнський міський центр соціальних служб в сумі  619552 грн., КЕКВ 2111 та  нарахування на заробітну плату в сумі 136302 грн. КЕКВ 2120, за рахунок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відповідно до постанови Кабінету Міністрів України від 05.07.2024 року  № 779 "Про затвердження Порядку та умов надання у 2024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 (зі змінами), від 18.10.2024 року  № 1205 "Про деякі питання забезпечення діяльності фахівців із супроводу ветеранів війни та демобілізованих осіб" та розпорядження  начальника Кіровоградської обласної військової адміністрації</t>
    </r>
    <r>
      <rPr>
        <sz val="12"/>
        <color rgb="FFFF0000"/>
        <rFont val="Times New Roman"/>
        <family val="1"/>
        <charset val="204"/>
      </rPr>
      <t xml:space="preserve"> від  31.10.2024 року  № 1105-р "Пр</t>
    </r>
    <r>
      <rPr>
        <sz val="12"/>
        <rFont val="Times New Roman"/>
        <family val="1"/>
        <charset val="204"/>
      </rPr>
      <t>о затвердження розподілу у 2024 році субвенції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 які захищали незалежність, суверенітет та територіальну цілісність України"</t>
    </r>
  </si>
  <si>
    <t>у тому числі за рахунок  залишку коштів субвенції з державного бюджету</t>
  </si>
  <si>
    <t>Додаткові кошти   в сумі 117982,98 грн., зокрема за напрямами використання на "Придбання насосного та  технологічного обладнання для заміни такого, що використало свої технічні можливості на комунальних каналізаційних системах (п. 2)" (придбання люків для заміни зношених або відсутніх на водоканалізаційних магістралях) в сумі 62982,98 грн. КЕКВ 2210 та  "Організація проведення оцінки впливу на довкілля та стратегічно - екологічної оцінки" (п.82) на оплату послуги за проведення  стратегічної екологічної оцінки проектів Стратегії розвитку Новоукраїнської міської територіальної громади ( 2025-2027 роки) та Плану заходів на 2025-2027 роки з реалізації Стратегії розвитку Новоукраїнської міської територіальної громади в сумі 55000 грн., за рахунок залишку коштів  фонду охорони навколишнього  природного середовища станом на 01 січня 2025 року КЕКВ 2240, відповідно до  постанови Кабінету Міністрів України  від 17.09.1996 року № 1147 "Про затвердження переліку видів діяльності, що належать до природоохоронних заходів" із змінами та доповненнями. Внести дані  зміни до рішення Новоукраїнської міської ради від 20 грудня 2024 року №1782 "Про затвердження кошторису видатків фонду охорони навколишнього природного середовища  Новоукраїнської міської  територіальної громади на 2025 рік"</t>
  </si>
  <si>
    <t>30.01.2025 №518/01-21</t>
  </si>
  <si>
    <t>30.01.2025        №500/01-21</t>
  </si>
  <si>
    <t>Забезпечення молодіжними центрами соціального становлення та розвитку молоді та інші заходи у сфері молодіжної політики</t>
  </si>
  <si>
    <t>Розвиток здібностей у дітей та молоді з фізичної культури та спорту комунальними дитячо-юнацькими спортивними школами</t>
  </si>
  <si>
    <t>Здійснення соціальної роботи та надання соціальних послуг центрами соціальних служб та центрами надання соціальних послуг особам/сім’ям, які належать до вразливих груп населення та/або перебувають у складних життєвих обставинах</t>
  </si>
  <si>
    <t>Надання комплексу послуг особам/сім’ям у сфері соціального захисту та соціального забезпечення іншими надавачами соціальних послуг</t>
  </si>
  <si>
    <t>Штрафні санкції, що застосовуються відповідно до Закону України `Про державне регулювання виробництва і обігу спирту етилового, спиртових дистилятів, біоетанолу, алкогольних напоїв, тютюнових виробів, тютюнової сировини, рідин, що використовуються в елект</t>
  </si>
  <si>
    <t>Адміністративний збір, що справляється відповідно до Закону України `Про державну реєстрацію юридичних осіб, фізичних осіб - підприємців та громадських формувань`</t>
  </si>
  <si>
    <r>
      <t xml:space="preserve"> Перерозподіл бюджетних призначень в межах виділених річних асигнувань  в сумі 30000 грн., зменшення фінансування</t>
    </r>
    <r>
      <rPr>
        <b/>
        <sz val="12"/>
        <color theme="1"/>
        <rFont val="Times New Roman"/>
        <family val="1"/>
        <charset val="204"/>
      </rPr>
      <t xml:space="preserve">  зокрема на оплату послуг з очищення каналізаційної системи  КЕКВ 2240, у зв'язку з виробничою неохідністю</t>
    </r>
    <r>
      <rPr>
        <sz val="12"/>
        <color theme="1"/>
        <rFont val="Times New Roman"/>
        <family val="1"/>
        <charset val="204"/>
      </rPr>
      <t>,  за рахунок перенесення фінансування  на КПКВ 0216090  КЕКВ 2240</t>
    </r>
  </si>
  <si>
    <r>
      <t>Додаткові кошти в сумі  70000 грн.</t>
    </r>
    <r>
      <rPr>
        <b/>
        <sz val="12"/>
        <color theme="1"/>
        <rFont val="Times New Roman"/>
        <family val="1"/>
        <charset val="204"/>
      </rPr>
      <t xml:space="preserve"> на оплату послуг з очистки каналізації високим тиском, у зв'язку із зношеністю мережі, через часті забивання каналізації, які потребують втручання спеціалізованої техніки </t>
    </r>
    <r>
      <rPr>
        <sz val="12"/>
        <color theme="1"/>
        <rFont val="Times New Roman"/>
        <family val="1"/>
        <charset val="204"/>
      </rPr>
      <t>КЕКВ 2240, за рахунок перевиконання дохідної частини загального фонду бюджету Новоукраїнської міської територіальної громади станом на 01.09.2023 року, відповідно до офіційного висновку та пункту 22 розділу VI "Прикінцеві та перехідні положення" Бюджетного кодексу України</t>
    </r>
  </si>
  <si>
    <r>
      <t xml:space="preserve"> Перерозподіл бюджетних призначень в межах виділених річних асигнувань  в сумі 400000 грн., перенесення фінансування  на КПКВ 0216014 КЕКВ 2240,  за рахунок зменшення  фінансування</t>
    </r>
    <r>
      <rPr>
        <b/>
        <sz val="12"/>
        <color theme="1"/>
        <rFont val="Times New Roman"/>
        <family val="1"/>
        <charset val="204"/>
      </rPr>
      <t xml:space="preserve"> на оплату  інших енергоносіїв та інших комунальних послуг (перевезення сміття)</t>
    </r>
    <r>
      <rPr>
        <sz val="12"/>
        <color theme="1"/>
        <rFont val="Times New Roman"/>
        <family val="1"/>
        <charset val="204"/>
      </rPr>
      <t>, у зв'язку з виробничою необхідністю КЕКВ 2275</t>
    </r>
  </si>
  <si>
    <r>
      <t xml:space="preserve"> Перерозподіл бюджетних призначень в межах виділених річних асигнувань  в сумі 400000 грн., перенесення фінансування  з КПКВ 0216014 КЕКВ 2275,  за рахунок збільшення  фінансування</t>
    </r>
    <r>
      <rPr>
        <b/>
        <sz val="12"/>
        <color theme="1"/>
        <rFont val="Times New Roman"/>
        <family val="1"/>
        <charset val="204"/>
      </rPr>
      <t xml:space="preserve"> на оплату  інших енергоносіїв та інших комунальних послуг (перевезення сміття)</t>
    </r>
    <r>
      <rPr>
        <sz val="12"/>
        <color theme="1"/>
        <rFont val="Times New Roman"/>
        <family val="1"/>
        <charset val="204"/>
      </rPr>
      <t>, у зв'язку з виробничою необхідністю КЕКВ 2240</t>
    </r>
  </si>
  <si>
    <r>
      <t xml:space="preserve"> Перерозподіл бюджетних призначень в межах виділених річних асигнувань  в сумі 50000 грн., збільшення фінансування</t>
    </r>
    <r>
      <rPr>
        <b/>
        <sz val="12"/>
        <color theme="1"/>
        <rFont val="Times New Roman"/>
        <family val="1"/>
        <charset val="204"/>
      </rPr>
      <t xml:space="preserve"> на оплату  послуг (рекультивація місць видалення відходів)</t>
    </r>
    <r>
      <rPr>
        <sz val="12"/>
        <color theme="1"/>
        <rFont val="Times New Roman"/>
        <family val="1"/>
        <charset val="204"/>
      </rPr>
      <t>, у зв'язку з виробничою необхідністю КЕКВ 2240,  за рахунок перенесення фінансування  на КПКВ 0216030  КЕКВ 2273</t>
    </r>
  </si>
  <si>
    <t>Проведення (надання) додаткових психолого-педагогічних і корекційно-розвиткових занять (послуг) за рахунок субвенції з державного бюджету місцевим бюджетам на надання державної підтримки особам з особливими освітніми потребами</t>
  </si>
  <si>
    <t>Програма розвитку, підтримки комунальних закладів охорони здоров’я та надання медичних послуг жителям Новоукраїнської міської територіальної громади понад обсяг, передбачений програмою державних гарантій медичного обслуговування населення, на 2024-2025 роки</t>
  </si>
  <si>
    <t>Рішення міської ради № 483  від 12.10.2021 року</t>
  </si>
  <si>
    <r>
      <t xml:space="preserve">Додаткові кошти в сумі  50000 грн., відповідно до клопотання начальника відділу з питань житлово-комунального господарства та Новоукраїнського ЖКП, на </t>
    </r>
    <r>
      <rPr>
        <b/>
        <sz val="12"/>
        <color theme="1"/>
        <rFont val="Times New Roman"/>
        <family val="1"/>
        <charset val="204"/>
      </rPr>
      <t>оплату плати порушнику за виконання суспільно-корисних робіт з нарахуваннями,  для перерахування її на відповідний рахунок органу державної виконавчої служби для подальшого погашення заборгованості зі сплати аліментів (плата за виконану боржником роботу)</t>
    </r>
    <r>
      <rPr>
        <sz val="12"/>
        <color theme="1"/>
        <rFont val="Times New Roman"/>
        <family val="1"/>
        <charset val="204"/>
      </rPr>
      <t xml:space="preserve"> на виконання  Програми організації та проведення суспільно корисних робіт для порушників, на яких судом накладено адміністративне стягнення у вигляді виконання суспільно корисних робіт на 2023-2025 роки, як фінансову підтримку одержувачу коштів виконавчого комітету Новоукраїнської міської ради Новоукраїнському ЖКП, за рахунок перевиконання дохідної частини загального фонду бюджету Новоукраїнської міської територіальної громади станом на 01.02.2025 року, відповідно до офіційного висновку та пункту 22</t>
    </r>
    <r>
      <rPr>
        <vertAlign val="superscript"/>
        <sz val="12"/>
        <color theme="1"/>
        <rFont val="Times New Roman"/>
        <family val="1"/>
        <charset val="204"/>
      </rPr>
      <t>2</t>
    </r>
    <r>
      <rPr>
        <sz val="12"/>
        <color theme="1"/>
        <rFont val="Times New Roman"/>
        <family val="1"/>
        <charset val="204"/>
      </rPr>
      <t xml:space="preserve"> розділу VI "Прикінцеві та перехідні положення" Бюджетного кодексу України КЕКВ 2610</t>
    </r>
  </si>
  <si>
    <r>
      <t xml:space="preserve">Додаткові кошти   в сумі 51000 грн. на проведення заходів та </t>
    </r>
    <r>
      <rPr>
        <b/>
        <sz val="12"/>
        <color theme="1"/>
        <rFont val="Times New Roman"/>
        <family val="1"/>
        <charset val="204"/>
      </rPr>
      <t>фінансову підтримку діяльності громадської організації "Організація ветеранів України"</t>
    </r>
    <r>
      <rPr>
        <sz val="12"/>
        <color theme="1"/>
        <rFont val="Times New Roman"/>
        <family val="1"/>
        <charset val="204"/>
      </rPr>
      <t xml:space="preserve">  Новоукраїнської міської  територіальної громади Новоукраїнського району, як одержувачу коштів управління соціального захисту та охорони здоров'я  Новоукраїнської міської ради, за рахунок перевиконання дохідної частини загального фонду бюджету Новоукраїнської міської територіальної громади станом на 01.02.2025 року, відповідно до офіційного висновку та пункту 22</t>
    </r>
    <r>
      <rPr>
        <vertAlign val="superscript"/>
        <sz val="12"/>
        <color theme="1"/>
        <rFont val="Times New Roman"/>
        <family val="1"/>
        <charset val="204"/>
      </rPr>
      <t>2</t>
    </r>
    <r>
      <rPr>
        <sz val="12"/>
        <color theme="1"/>
        <rFont val="Times New Roman"/>
        <family val="1"/>
        <charset val="204"/>
      </rPr>
      <t xml:space="preserve"> розділу VI "Прикінцеві та перехідні положення" Бюджетного кодексу України   КЕКВ 2610</t>
    </r>
  </si>
  <si>
    <t>04.02.2025 №577/01-21</t>
  </si>
  <si>
    <r>
      <t>Додаткові кошти в сумі 78000 грн. на завершення робіт з виконання  генерального плану міста КЕКВ 2281, у зв'язку із зміною законодавтсва та виникненням потреби в доопрацюванні містобудівної документації "Історико-архітектурний опорний план м.Новоукраїнка з визначення меж та режимів зон охорони пам'яток, історичних ореалів",  за рахунок перевиконання дохідної частини загального фонду бюджету Новоукраїнської міської територіальної громади станом на 01.02.2025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Внести зміни до  Програма соціально-економічного та культурного розвитку Новоукраїнської міської територіальної громади на 2025 рік.</t>
    </r>
  </si>
  <si>
    <r>
      <t xml:space="preserve">Додаткові кошти в сумі 34211 грн. </t>
    </r>
    <r>
      <rPr>
        <b/>
        <sz val="12"/>
        <rFont val="Times New Roman"/>
        <family val="1"/>
        <charset val="204"/>
      </rPr>
      <t xml:space="preserve">на оплату авторського нагляду та коригування  проекту  "Реконструкція очисних споруд  по вул. Мокряка  у м.Новоукраїнка, Кіровоградської обл., продуктивністю 200 м3/доб.(Коригування)", який реалізовувався у 2019 році за рахунок коштів субвенції з державного бюджету місцевим бюджетам на здійснення заходів щодо соціально-економічного розвитку окремих територій у 2019 році  і коштів  бюджету Новоукраїнської міської територіальної громади та є перехідним на 2020 - 2025 роки </t>
    </r>
    <r>
      <rPr>
        <sz val="12"/>
        <rFont val="Times New Roman"/>
        <family val="1"/>
        <charset val="204"/>
      </rPr>
      <t xml:space="preserve"> КЕКВ 3142, у зв'язку із завершенням робіт та введенням об'єкту в експлуатацію,  за рахунок перевиконання дохідної частини загального фонду бюджету Новоукраїнської міської територіальної громади станом на 01.02.2025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Внести зміни до  Програма соціально-економічного та культурного розвитку Новоукраїнської міської територіальної громади на 2025 рік.</t>
    </r>
  </si>
  <si>
    <t>Обсяг капітальних вкладень місцевого бюджету у 2025 році, гривень</t>
  </si>
  <si>
    <t>Очікуваний рівень готовності проекту на кінець 2025 року, %</t>
  </si>
  <si>
    <t>07.02.2025        №10/01-29</t>
  </si>
  <si>
    <t>05.02.2025 №606/01-21</t>
  </si>
  <si>
    <t>Програми розвитку культури на території  Новоукраїнської міської територіальної громади на 2020-2027 роки</t>
  </si>
  <si>
    <r>
      <t>Додаткові кошти в сумі 300000 грн.  на соціальне забезпечення для надання матеріальної допомоги  учасникам будівельних робіт з будівництва фортифікаційних споруд на прифронтових територіях</t>
    </r>
    <r>
      <rPr>
        <b/>
        <sz val="12"/>
        <rFont val="Times New Roman"/>
        <family val="1"/>
        <charset val="204"/>
      </rPr>
      <t xml:space="preserve">,  на виконання програми "Розвиток та удосконалення цивільного захисту населення Новоукраїнської міської  територіальної громади громади на 2018-2027 роки" </t>
    </r>
    <r>
      <rPr>
        <sz val="12"/>
        <rFont val="Times New Roman"/>
        <family val="1"/>
        <charset val="204"/>
      </rPr>
      <t xml:space="preserve"> за рахунок перевиконання дохідної частини загального фонду бюджету Новоукраїнської міської територіальної громади станом на 01.02.2025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КЕКВ 2730</t>
    </r>
  </si>
  <si>
    <r>
      <t xml:space="preserve">Додаткові  кошти в сумі 150000 грн. </t>
    </r>
    <r>
      <rPr>
        <b/>
        <sz val="12"/>
        <rFont val="Times New Roman"/>
        <family val="1"/>
        <charset val="204"/>
      </rPr>
      <t xml:space="preserve">на придбання засобів індивідуального захисту, робочого одягу, взуття обладнання, робочого інструменту </t>
    </r>
    <r>
      <rPr>
        <sz val="12"/>
        <rFont val="Times New Roman"/>
        <family val="1"/>
        <charset val="204"/>
      </rPr>
      <t>на виконання програми "Розвиток та удосконалення цивільного захисту населення Новоукраїнської міської  територіальної громади громади на 2018-2027 роки" в т.ч. в умовах воєнного стану для забезпечення роботи  на об'єктах критичної інфраструктури, за рахунок перевиконання дохідної частини загального фонду бюджету Новоукраїнської міської територіальної громади станом на 01.02.2025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КЕКВ  2210</t>
    </r>
  </si>
  <si>
    <r>
      <t>Додаткові кошти в сумі 53000 грн.  на  розроблення проектно-кошторисної документації з побудови системи масового оповіщення  та інформування МАСЦО на території Новоукраїнської міської  територіальної громади громади на виконання програми "Розвиток та удосконалення цивільного захисту населення Новоукраїнської міської  територіальної громади громади на 2018-2027 роки", у зв'язку з необхідністю для забезпечення безперебійної роботи установ та оранізацій, в період планових відключень електроенергії та на випадок блекауту,  за рахунок перевиконання дохідної частини загального фонду бюджету Новоукраїнської міської територіальної громади станом на 01.02.2025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КЕКВ 3122. Внести зміни до програми "Розвиток та удосконалення цивільного захисту населення Новоукраїнської міської  територіальної громади громади на 2018-2026 роки".</t>
    </r>
  </si>
  <si>
    <t>Програма підтримки внутрішньо переміщених та/або евакуйованих осіб у зв’язку із введенням воєнного стану на 2023-2027 роки</t>
  </si>
  <si>
    <t>10.02.2025 №658/01-21</t>
  </si>
  <si>
    <r>
      <t xml:space="preserve">Додаткові кошти   в сумі 15000 грн., відповідно до клопотання начальника відділу з питань житлово-комунального господарства та КП "Водокомунгосп",  для </t>
    </r>
    <r>
      <rPr>
        <b/>
        <sz val="12"/>
        <color theme="1"/>
        <rFont val="Times New Roman"/>
        <family val="1"/>
        <charset val="204"/>
      </rPr>
      <t>оплати послуг з монтажу та установки охоронної сигналізації на об'єкті критичної інфраструктури</t>
    </r>
    <r>
      <rPr>
        <sz val="12"/>
        <color theme="1"/>
        <rFont val="Times New Roman"/>
        <family val="1"/>
        <charset val="204"/>
      </rPr>
      <t>, як фінансову підтримку одержувачу коштів виконавчого комітету Новоукраїнської міської ради, за рахунок  залучення від перевиконання дохідної частини загального фонду бюджету Новоукраїнської міської територіальної громади станом на 01.02.2025 року, відповідно до офіційного висновку та пункту 22</t>
    </r>
    <r>
      <rPr>
        <vertAlign val="superscript"/>
        <sz val="12"/>
        <color theme="1"/>
        <rFont val="Times New Roman"/>
        <family val="1"/>
        <charset val="204"/>
      </rPr>
      <t>2</t>
    </r>
    <r>
      <rPr>
        <sz val="12"/>
        <color theme="1"/>
        <rFont val="Times New Roman"/>
        <family val="1"/>
        <charset val="204"/>
      </rPr>
      <t xml:space="preserve"> розділу VI "Прикінцеві та перехідні положення" Бюджетного кодексу України  КЕКВ 2610</t>
    </r>
  </si>
  <si>
    <t>Рішення міської ради № 1271 від 10.10.2024 року</t>
  </si>
  <si>
    <t>Додаткові кошти в сумі 20000 грн.   на медикаменти та перев'язувальні матеріали, співфінансування за рахунок субвенції з бюджету   Рівнянської  сільської територіальної громади 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 (рішення   Рівнянської  сільської ради від 20.12.2024 року №2515 "Про бюджет  Рівнянської сільської територіальної громади на 2025 рік" із змінами внесеними рішенням  від 14.02.2025 року №2561)</t>
  </si>
  <si>
    <t xml:space="preserve"> на  обладнання та предмети довгострокового користування</t>
  </si>
  <si>
    <t>17.02.2025     №106/01-14</t>
  </si>
  <si>
    <r>
      <t xml:space="preserve">Перерозподіл бюджетних призначень в межах виділених річних асигнувань в сумі 5000 грн.,  а саме </t>
    </r>
    <r>
      <rPr>
        <b/>
        <sz val="12"/>
        <rFont val="Times New Roman"/>
        <family val="1"/>
        <charset val="204"/>
      </rPr>
      <t xml:space="preserve">збільшення фінансування  на предмети, матеріали, обладанння та інвентар (на придбання кухонного інвентарю) відповідно до вимог НАССР для Мар'янопільської філії </t>
    </r>
    <r>
      <rPr>
        <sz val="12"/>
        <rFont val="Times New Roman"/>
        <family val="1"/>
        <charset val="204"/>
      </rPr>
      <t xml:space="preserve"> Новоукраїнського ліцею №8 КЕКВ 2210, за рахунок перенесення фінансування  з КПКВ 0611021  КЕКВ 2275.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t>
    </r>
  </si>
  <si>
    <t>18.02.2025        №198/02-16</t>
  </si>
  <si>
    <r>
      <t xml:space="preserve">Додаткові  кошти  в сумі 80000 грн. </t>
    </r>
    <r>
      <rPr>
        <b/>
        <sz val="12"/>
        <rFont val="Times New Roman"/>
        <family val="1"/>
        <charset val="204"/>
      </rPr>
      <t>для забезпечення призову на строкову військову службу та мобілізації громадян територіальної громади  в 2025 році</t>
    </r>
    <r>
      <rPr>
        <sz val="12"/>
        <rFont val="Times New Roman"/>
        <family val="1"/>
        <charset val="204"/>
      </rPr>
      <t xml:space="preserve">  (доставка призовників та мобілізованих до пунктів приймання особового складу військових частин)  відповідно до клопотання Новоукраїнського районного територіального центру комплектування та соціальної підтримки для організації підготовки та проведення мобілізації та затвердженої  Комплексної  Програми підтримки військовослужбовців Сил територіальної оборони та Збройних Сил України на 2025 рік, за рахунок  вільного залишку коштів загального фонду бюджету Новоукраїнської  міської територіальної громади станом на 01.01.2025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КЕКВ 2240</t>
    </r>
  </si>
  <si>
    <r>
      <t xml:space="preserve">Додаткові кошти   в сумі 800000 грн., відповідно до клопотання начальника відділу з питань житлово-комунального господарства та КП "Водокомунгосп",  для </t>
    </r>
    <r>
      <rPr>
        <b/>
        <sz val="12"/>
        <color theme="1"/>
        <rFont val="Times New Roman"/>
        <family val="1"/>
        <charset val="204"/>
      </rPr>
      <t>оплати електроенергії</t>
    </r>
    <r>
      <rPr>
        <sz val="12"/>
        <color theme="1"/>
        <rFont val="Times New Roman"/>
        <family val="1"/>
        <charset val="204"/>
      </rPr>
      <t>, як фінансову підтримку одержувачу коштів виконавчого комітету Новоукраїнської міської ради, за рахунок перевиконання дохідної частини загального фонду бюджету Новоукраїнської міської територіальної громади станом на 01.02.2025 року, відповідно до офіційного висновку та пункту 22</t>
    </r>
    <r>
      <rPr>
        <vertAlign val="superscript"/>
        <sz val="12"/>
        <color theme="1"/>
        <rFont val="Times New Roman"/>
        <family val="1"/>
        <charset val="204"/>
      </rPr>
      <t>2</t>
    </r>
    <r>
      <rPr>
        <sz val="12"/>
        <color theme="1"/>
        <rFont val="Times New Roman"/>
        <family val="1"/>
        <charset val="204"/>
      </rPr>
      <t xml:space="preserve"> розділу VI "Прикінцеві та перехідні положення" Бюджетного кодексу України  КЕКВ 2610 </t>
    </r>
  </si>
  <si>
    <r>
      <t xml:space="preserve">Додаткові кошти   в сумі 200000 грн., відповідно до клопотання начальника відділу з питань житлово-комунального господарства та КП "Водокомунгосп",  для </t>
    </r>
    <r>
      <rPr>
        <b/>
        <sz val="12"/>
        <color theme="1"/>
        <rFont val="Times New Roman"/>
        <family val="1"/>
        <charset val="204"/>
      </rPr>
      <t>оплати обов'язкових платежів та податків</t>
    </r>
    <r>
      <rPr>
        <sz val="12"/>
        <color theme="1"/>
        <rFont val="Times New Roman"/>
        <family val="1"/>
        <charset val="204"/>
      </rPr>
      <t>, як фінансову підтримку одержувачу коштів виконавчого комітету Новоукраїнської міської ради, за рахунок  залучення від перевиконання дохідної частини загального фонду бюджету Новоукраїнської міської територіальної громади станом на 01.02.2025 року, відповідно до офіційного висновку та пункту 22</t>
    </r>
    <r>
      <rPr>
        <vertAlign val="superscript"/>
        <sz val="12"/>
        <color theme="1"/>
        <rFont val="Times New Roman"/>
        <family val="1"/>
        <charset val="204"/>
      </rPr>
      <t>2</t>
    </r>
    <r>
      <rPr>
        <sz val="12"/>
        <color theme="1"/>
        <rFont val="Times New Roman"/>
        <family val="1"/>
        <charset val="204"/>
      </rPr>
      <t xml:space="preserve"> розділу VI "Прикінцеві та перехідні положення" Бюджетного кодексу України  КЕКВ 2610</t>
    </r>
  </si>
  <si>
    <t>2019-2025</t>
  </si>
  <si>
    <t>2023-2025</t>
  </si>
  <si>
    <t>18.02.2025 року №09/3885-25</t>
  </si>
  <si>
    <t>20.02.2025 року №763</t>
  </si>
  <si>
    <t>04.03.2025     №980/01-21</t>
  </si>
  <si>
    <t>Рішення міської ради № 1691 від 30.10.2024 року</t>
  </si>
  <si>
    <t>24.02.2025 року №2249</t>
  </si>
  <si>
    <t xml:space="preserve">27.02.2025 року №1177 </t>
  </si>
  <si>
    <t>05.03.2025     №1011/01-21</t>
  </si>
  <si>
    <r>
      <t>Додаткові кошти  в сумі 30000 грн.</t>
    </r>
    <r>
      <rPr>
        <b/>
        <sz val="12"/>
        <rFont val="Times New Roman"/>
        <family val="1"/>
        <charset val="204"/>
      </rPr>
      <t xml:space="preserve"> для придбання бетонної продукції (секції забору для встановлення на дитячих та спортивних майданчиках та інша продукція</t>
    </r>
    <r>
      <rPr>
        <sz val="12"/>
        <rFont val="Times New Roman"/>
        <family val="1"/>
        <charset val="204"/>
      </rPr>
      <t>, у зв'язку з необхідністю) КЕКВ 2210, за рахунок перевиконання дохідної частини загального фонду бюджету Новоукраїнської міської територіальної громади станом на 01.03.2025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t>
    </r>
  </si>
  <si>
    <r>
      <t>Додаткові кошти  в сумі 20000 грн.</t>
    </r>
    <r>
      <rPr>
        <b/>
        <sz val="12"/>
        <rFont val="Times New Roman"/>
        <family val="1"/>
        <charset val="204"/>
      </rPr>
      <t xml:space="preserve"> для придбання дорожніх знаків</t>
    </r>
    <r>
      <rPr>
        <sz val="12"/>
        <rFont val="Times New Roman"/>
        <family val="1"/>
        <charset val="204"/>
      </rPr>
      <t>, у зв'язку з необхідністю КЕКВ 2210, за рахунок перевиконання дохідної частини загального фонду бюджету Новоукраїнської міської територіальної громади станом на 01.03.2025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t>
    </r>
  </si>
  <si>
    <r>
      <t>Додаткові кошти  в сумі 75000 грн.</t>
    </r>
    <r>
      <rPr>
        <b/>
        <sz val="12"/>
        <rFont val="Times New Roman"/>
        <family val="1"/>
        <charset val="204"/>
      </rPr>
      <t xml:space="preserve"> для придбання запчастин до грейдера (два комплекти ножів)</t>
    </r>
    <r>
      <rPr>
        <sz val="12"/>
        <rFont val="Times New Roman"/>
        <family val="1"/>
        <charset val="204"/>
      </rPr>
      <t>, у зв'язку з необхідністюдля якісного та своєчасного планування та розгортання підсипкового матеріалу КЕКВ 2210, за рахунок перевиконання дохідної частини загального фонду бюджету Новоукраїнської міської територіальної громади станом на 01.03.2025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t>
    </r>
  </si>
  <si>
    <t>Коригування проектно-кошторисної документації по проекту "Реконструкція території парку з поліпшеною інфраструктурою для бізнесу та громадян в м. Новоукраїнка "Сквер на Соборній"</t>
  </si>
  <si>
    <t>06.03.2025     33/01-29</t>
  </si>
  <si>
    <t>рішення МР 28.01.2025 №1817 та 10.03.2025 №1063/01-21</t>
  </si>
  <si>
    <r>
      <t xml:space="preserve"> Субвенція з державного бюджету в сумі 51887825 грн. </t>
    </r>
    <r>
      <rPr>
        <b/>
        <sz val="12"/>
        <rFont val="Times New Roman"/>
        <family val="1"/>
        <charset val="204"/>
      </rPr>
      <t xml:space="preserve">на реалізацію проекту "Реконструкція будівель, споруд, комунікацій та облаштування прилеглої території комунального некомерційного підприємства "Новоукраїнська центральна районна лікарня" Новоукраїнської районної ради   (адреса 27100,  Кіровоградська область, м.Новоукраїнка, провулок Лікарняний, 1). Коригування", що буде виконуватись за рахунок субвенції з державного бюджету місцевим бюджетам на реалізацію проектів у рамках Програми з відновлення України, відповідно постанови Кабінету Міністрів України від 07 березня 2025 року N 269 "Про внесення змін до порядку та умов надання  субвенції з державного бюджету місцевим бюджетам на реалізацію проектів у рамках Програми з відновлення України", </t>
    </r>
    <r>
      <rPr>
        <sz val="12"/>
        <rFont val="Times New Roman"/>
        <family val="1"/>
        <charset val="204"/>
      </rPr>
      <t xml:space="preserve">через головного розпорядника коштів управління соціального захисту та охорони здоров'я  Новоукраїнської міської ради КЕКВ 3142 </t>
    </r>
  </si>
  <si>
    <t>10.03.2025     36/01-29</t>
  </si>
  <si>
    <t>11.03.2025     №157/01-14</t>
  </si>
  <si>
    <t>12.03.2025           № 38/01-29</t>
  </si>
  <si>
    <r>
      <t xml:space="preserve">Додаткові кошти в сумі 12000 грн. </t>
    </r>
    <r>
      <rPr>
        <b/>
        <sz val="12"/>
        <rFont val="Times New Roman"/>
        <family val="1"/>
        <charset val="204"/>
      </rPr>
      <t xml:space="preserve"> на інші виплати населенню на виплату щомісячної адресної допомоги середньому медичному персоналу Марянопільського ФАП на покриття транспортних витрат на виконання Програми місцевих стимулів для медичних працівників Новоукраїнської міської територіальної громади на 2021-2025 роки (нова редакція) КНП "Центр первинної медико-санітарної допомоги"</t>
    </r>
    <r>
      <rPr>
        <sz val="12"/>
        <rFont val="Times New Roman"/>
        <family val="1"/>
        <charset val="204"/>
      </rPr>
      <t>,  як одержувачу коштів управління соціального захисту та охорони здоров'я  Новоукраїнської міської ради, за рахунок перевиконання дохідної частини загального фонду бюджету Новоукраїнської міської територіальної громади станом на 01.03.2025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КЕКВ 2610</t>
    </r>
  </si>
  <si>
    <t>13.03.2025     40/01-29</t>
  </si>
  <si>
    <t>12.03.2025     37/01-29</t>
  </si>
  <si>
    <t>у тому числі за рахунок субвенції з державного  бюджету</t>
  </si>
  <si>
    <r>
      <t xml:space="preserve">Додаткові кошти в сумі 40000 грн. </t>
    </r>
    <r>
      <rPr>
        <b/>
        <sz val="12"/>
        <rFont val="Times New Roman"/>
        <family val="1"/>
        <charset val="204"/>
      </rPr>
      <t>для придбання двох ноутбуків</t>
    </r>
    <r>
      <rPr>
        <sz val="12"/>
        <rFont val="Times New Roman"/>
        <family val="1"/>
        <charset val="204"/>
      </rPr>
      <t>, у зв'язку з збільшенням працівників управління соціального захисту та охорони здоров'я, за рахунок перевиконання дохідної частини загального фонду бюджету Новоукраїнської міської територіальної громади станом на 01.03.2025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КЕКВ 2210 </t>
    </r>
  </si>
  <si>
    <r>
      <t>Перерозподіл бюджетних призначень в межах виділених річних асигнувань в сумі 2100 грн., перенесення фінансування  з КПКВ 0810160 КЕКВ 2240,  за рахунок збільшення коштів н</t>
    </r>
    <r>
      <rPr>
        <b/>
        <sz val="12"/>
        <rFont val="Times New Roman"/>
        <family val="1"/>
        <charset val="204"/>
      </rPr>
      <t xml:space="preserve">а оплату навчання та отримання сертифікату </t>
    </r>
    <r>
      <rPr>
        <sz val="12"/>
        <rFont val="Times New Roman"/>
        <family val="1"/>
        <charset val="204"/>
      </rPr>
      <t xml:space="preserve">з питань здійснення публічних закупівель для працівників управління соціального захисту та охорони здоров'я  КЕКВ 2282 </t>
    </r>
  </si>
  <si>
    <r>
      <t xml:space="preserve">Додаткові  кошти  в сумі 82500 грн.  </t>
    </r>
    <r>
      <rPr>
        <b/>
        <sz val="12"/>
        <rFont val="Times New Roman"/>
        <family val="1"/>
        <charset val="204"/>
      </rPr>
      <t>на оплату послуг з завантаження бази даних земельних ділянок до геоінформаційної системи,</t>
    </r>
    <r>
      <rPr>
        <sz val="12"/>
        <rFont val="Times New Roman"/>
        <family val="1"/>
        <charset val="204"/>
      </rPr>
      <t xml:space="preserve"> за рахунок перевиконання дохідної частини загального фонду бюджету Новоукраїнської міської територіальної громади станом на 01.03.2025 року, відповідно до офіційного висновку та пункту 222 розділу VI "Прикінцеві та перехідні положення" Бюджетного кодексу України   КЕКВ 2240</t>
    </r>
  </si>
  <si>
    <r>
      <t xml:space="preserve">Додаткові  кошти в сумі 20000 грн. на закупівлю послуги щодо </t>
    </r>
    <r>
      <rPr>
        <b/>
        <sz val="12"/>
        <rFont val="Times New Roman"/>
        <family val="1"/>
        <charset val="204"/>
      </rPr>
      <t xml:space="preserve">оцінки технічного стану захисної споруди </t>
    </r>
    <r>
      <rPr>
        <sz val="12"/>
        <rFont val="Times New Roman"/>
        <family val="1"/>
        <charset val="204"/>
      </rPr>
      <t>на виконання програми "Розвиток та удосконалення цивільного захисту населення Новоукраїнської міської  територіальної громади громади на 2018-2027 роки" для визначення реального стану будівлі та інженерних мереж, за рахунок перевиконання дохідної частини загального фонду бюджету Новоукраїнської міської територіальної громади станом на 01.03.2025 року, відповідно до офіційного висновку та пункту 222 розділу VI "Прикінцеві та перехідні положення" Бюджетного кодексу України КЕКВ  2240</t>
    </r>
  </si>
  <si>
    <r>
      <t>Додаткові кошти в сумі 7520 грн.</t>
    </r>
    <r>
      <rPr>
        <b/>
        <sz val="12"/>
        <rFont val="Times New Roman"/>
        <family val="1"/>
        <charset val="204"/>
      </rPr>
      <t xml:space="preserve"> </t>
    </r>
    <r>
      <rPr>
        <sz val="12"/>
        <rFont val="Times New Roman"/>
        <family val="1"/>
        <charset val="204"/>
      </rPr>
      <t>на предмети, матеріали, обладанння та інвентар</t>
    </r>
    <r>
      <rPr>
        <b/>
        <sz val="12"/>
        <rFont val="Times New Roman"/>
        <family val="1"/>
        <charset val="204"/>
      </rPr>
      <t xml:space="preserve"> (на придбання бензопили) для </t>
    </r>
    <r>
      <rPr>
        <sz val="12"/>
        <rFont val="Times New Roman"/>
        <family val="1"/>
        <charset val="204"/>
      </rPr>
      <t xml:space="preserve"> закладів загальної середньої освіти КЕКВ 2210, за рахунок перевиконання дохідної частини загального фонду бюджету Новоукраїнської міської територіальної громади станом на 01.03.2025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t>
    </r>
  </si>
  <si>
    <r>
      <t xml:space="preserve">Додаткові кошти в сумі 38540 грн., зокрема на предмети, матеріали, обладанння та інвентар </t>
    </r>
    <r>
      <rPr>
        <b/>
        <sz val="12"/>
        <rFont val="Times New Roman"/>
        <family val="1"/>
        <charset val="204"/>
      </rPr>
      <t>(придбання мотокоси, ланцюгів для бензопил. цементу, малярних щіток, кельм та інших матеріалів для поточного ремонту водостоку даху та стін будівлі</t>
    </r>
    <r>
      <rPr>
        <sz val="12"/>
        <rFont val="Times New Roman"/>
        <family val="1"/>
        <charset val="204"/>
      </rPr>
      <t>), у зв'язку з виробничою неохідністю по КУ "Центр соціальних послуг Новоукраїнської міської ради Кіровоградської області", за рахунок перевиконання дохідної частини загального фонду бюджету Новоукраїнської міської територіальної громади станом на 01.03.2025 року, відповідно до офіційного висновку та пункту 222 розділу VI "Прикінцеві та перехідні положення" Бюджетного кодексу України  КЕКВ 2210</t>
    </r>
  </si>
  <si>
    <r>
      <t xml:space="preserve">Додаткові кошти в сумі 8000 грн., </t>
    </r>
    <r>
      <rPr>
        <b/>
        <sz val="12"/>
        <rFont val="Times New Roman"/>
        <family val="1"/>
        <charset val="204"/>
      </rPr>
      <t>оплати видатків на відрядження</t>
    </r>
    <r>
      <rPr>
        <sz val="12"/>
        <rFont val="Times New Roman"/>
        <family val="1"/>
        <charset val="204"/>
      </rPr>
      <t xml:space="preserve">  для КУ Новоукраїнський міський центр соціальних служб, за рахунок перевиконання дохідної частини загального фонду бюджету Новоукраїнської міської територіальної громади станом на 01.03.2025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КЕКВ 2250</t>
    </r>
  </si>
  <si>
    <r>
      <t xml:space="preserve">Перерозподіл бюджетних призначень в межах виділених річних асигнувань в сумі 86000 грн., перенесення фінансування  на КПКВ 0813241   КЕКВ 2240, за рахунок зменшення фінансування на придбання </t>
    </r>
    <r>
      <rPr>
        <b/>
        <sz val="12"/>
        <rFont val="Times New Roman"/>
        <family val="1"/>
        <charset val="204"/>
      </rPr>
      <t>інших енергоносіїв, по комунальному закладу "Новоукраїнський міський центр тимчасового проживання/перебування внутрішньо переміщених осіб</t>
    </r>
    <r>
      <rPr>
        <sz val="12"/>
        <rFont val="Times New Roman"/>
        <family val="1"/>
        <charset val="204"/>
      </rPr>
      <t>"  КЕКВ 2275</t>
    </r>
  </si>
  <si>
    <r>
      <t xml:space="preserve">Перерозподіл бюджетних призначень в межах виділених річних асигнувань в сумі 86000 грн., перенесення фінансування  з КПКВ 0813241   КЕКВ 2275, за рахунок збільшення фінансування на оплату послуг(крім комунальних) за </t>
    </r>
    <r>
      <rPr>
        <b/>
        <sz val="12"/>
        <rFont val="Times New Roman"/>
        <family val="1"/>
        <charset val="204"/>
      </rPr>
      <t>вивезення рідких нечистот</t>
    </r>
    <r>
      <rPr>
        <sz val="12"/>
        <rFont val="Times New Roman"/>
        <family val="1"/>
        <charset val="204"/>
      </rPr>
      <t xml:space="preserve"> по комунальному закладу "Новоукраїнський міський центр тимчасового проживання/перебування внутрішньо переміщених осіб"  КЕКВ 2240</t>
    </r>
  </si>
  <si>
    <r>
      <t xml:space="preserve">Додаткові кошти в сумі 99000 грн.  </t>
    </r>
    <r>
      <rPr>
        <b/>
        <sz val="12"/>
        <rFont val="Times New Roman"/>
        <family val="1"/>
        <charset val="204"/>
      </rPr>
      <t xml:space="preserve">на коригування  проекту  "Реконструкція території парку з поліпшеною інфраструктурою для бізнесу та громадян в м. Новоукраїнка "Сквер на Соборній", який реалізовувався у 2020 -2024 роках  за рахунок коштів бюджету   Новоукраїнської  міської  територіальної громади, коштів  Програми МТД DOBRE та інших не заборонених законодавством коштів та є перехідним на 2025  рік, </t>
    </r>
    <r>
      <rPr>
        <sz val="12"/>
        <rFont val="Times New Roman"/>
        <family val="1"/>
        <charset val="204"/>
      </rPr>
      <t>за рахунок перевиконання дохідної частини загального фонду бюджету Новоукраїнської міської територіальної громади станом на 01.03.2025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КЕКВ 3142</t>
    </r>
  </si>
  <si>
    <r>
      <t>Субвенція з бюджету Новоукраїнської  міської територіальної громади  державному бюджету,  в сумі 200000 грн.</t>
    </r>
    <r>
      <rPr>
        <b/>
        <sz val="12"/>
        <rFont val="Times New Roman"/>
        <family val="1"/>
        <charset val="204"/>
      </rPr>
      <t xml:space="preserve"> з метою оперативного виконання бойових завдань військовослужбовцями  із захисту від збройної агресії  на капітальні видатки, зокрема для закупівлі безпілотних літальних апаратів типу квадрокоптер (DJI Mavic 3T та DJI Mavic 3E), БпЛА зі скидами, дронів – камікадзе (FPV – дронів),  засобів радіоелектронної боротьби, транспортних засобів підвищеної прохідності для військової частини </t>
    </r>
    <r>
      <rPr>
        <sz val="12"/>
        <rFont val="Times New Roman"/>
        <family val="1"/>
        <charset val="204"/>
      </rPr>
      <t>А****, відповідно до вхідного листа від 07.03.2025 року № 1060/01-25, як установі, що фінансується з державного бюджету,</t>
    </r>
    <r>
      <rPr>
        <b/>
        <sz val="12"/>
        <rFont val="Times New Roman"/>
        <family val="1"/>
        <charset val="204"/>
      </rPr>
      <t xml:space="preserve"> </t>
    </r>
    <r>
      <rPr>
        <sz val="12"/>
        <rFont val="Times New Roman"/>
        <family val="1"/>
        <charset val="204"/>
      </rPr>
      <t xml:space="preserve"> на виконання програм соціально-економічного розвитку регіонів та Комплексної  Програми підтримки військовослужбовців Сил територіальної оборони та Збройних Сил України на 2025 рік, за рахунок  вільного залишку коштів загального фонду бюджету Новоукраїнської  міської територіальної громади станом на 01.01.2025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(капітальні видатки)  КЕКВ 3220. </t>
    </r>
  </si>
  <si>
    <r>
      <t xml:space="preserve">Субвенція з бюджету Новоукраїнської  міської територіальної громади  державному бюджету,  в сумі 250000 грн. з метою оперативного виконання бойових завдань військовослужбовцями  із захисту від збройної агресії  </t>
    </r>
    <r>
      <rPr>
        <b/>
        <sz val="12"/>
        <rFont val="Times New Roman"/>
        <family val="1"/>
        <charset val="204"/>
      </rPr>
      <t xml:space="preserve">на капітальні видатки, зокрема для закупівлі  засобів ураження та спеціального обладнання для військової частини </t>
    </r>
    <r>
      <rPr>
        <sz val="12"/>
        <rFont val="Times New Roman"/>
        <family val="1"/>
        <charset val="204"/>
      </rPr>
      <t>А****, відповідно до вхідного листа від 06.03.2025 року № 1041/01-25, як установі, що фінансується з державного бюджету,  на виконання програм соціально-економічного розвитку регіонів та Комплексної  Програми підтримки військовослужбовців Сил територіальної оборони та Збройних Сил України на 2025 рік, за рахунок  вільного залишку коштів загального фонду бюджету Новоукраїнської  міської територіальної громади станом на 01.01.2024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(капітальні видатки)  КЕКВ 3220. </t>
    </r>
  </si>
  <si>
    <r>
      <t xml:space="preserve">Субвенція з бюджету Новоукраїнської  міської територіальної громади  державному бюджету,  в сумі 100000 грн. з метою оперативного виконання бойових завдань військовослужбовцями  із захисту від збройної агресії </t>
    </r>
    <r>
      <rPr>
        <b/>
        <sz val="12"/>
        <rFont val="Times New Roman"/>
        <family val="1"/>
        <charset val="204"/>
      </rPr>
      <t xml:space="preserve"> на поточні витрати на закупівлю безпілотних літальних апаратів, комплексів, засобів радіоелектронної боротьби, запасних частин для транспортних засобів, матеріалів для облаштування місць укриття особового складу, зарядних станцій, генераторів та приладів спостереження для військової частини </t>
    </r>
    <r>
      <rPr>
        <sz val="12"/>
        <rFont val="Times New Roman"/>
        <family val="1"/>
        <charset val="204"/>
      </rPr>
      <t>А****, відповідно до вхідного листа від 19.02.2025 року № 791/01-25, як установі, що фінансується з державного бюджету,  на виконання програм соціально-економічного розвитку регіонів та Комплексної  Програми підтримки військовослужбовців Сил територіальної оборони та Збройних Сил України на 2025 рік, за рахунок  вільного залишку коштів загального фонду бюджету Новоукраїнської  міської територіальної громади станом на 01.01.2025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(поточні видатки)  КЕКВ 2620. </t>
    </r>
  </si>
  <si>
    <r>
      <t xml:space="preserve">Субвенція з бюджету Новоукраїнської  міської територіальної громади  державному бюджету,  в сумі 100000 грн. з метою оперативного виконання бойових завдань військовослужбовцями  із захисту від збройної агресії </t>
    </r>
    <r>
      <rPr>
        <b/>
        <sz val="12"/>
        <rFont val="Times New Roman"/>
        <family val="1"/>
        <charset val="204"/>
      </rPr>
      <t xml:space="preserve"> на поточні витрати на закупівлю комплектуючих до безпілотних літальних апаратів для військової частини </t>
    </r>
    <r>
      <rPr>
        <sz val="12"/>
        <rFont val="Times New Roman"/>
        <family val="1"/>
        <charset val="204"/>
      </rPr>
      <t>А****, відповідно до вхідного листа від 24.02.2025 року № 843/01-25, як установі, що фінансується з державного бюджету,</t>
    </r>
    <r>
      <rPr>
        <b/>
        <sz val="12"/>
        <rFont val="Times New Roman"/>
        <family val="1"/>
        <charset val="204"/>
      </rPr>
      <t xml:space="preserve"> </t>
    </r>
    <r>
      <rPr>
        <sz val="12"/>
        <rFont val="Times New Roman"/>
        <family val="1"/>
        <charset val="204"/>
      </rPr>
      <t xml:space="preserve"> на виконання програм соціально-економічного розвитку регіонів та Комплексної  Програми підтримки військовослужбовців Сил територіальної оборони та Збройних Сил України на 2025 рік, за рахунок  вільного залишку коштів загального фонду бюджету Новоукраїнської  міської територіальної громади станом на 01.01.2025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(поточні видатки)  КЕКВ 2620. </t>
    </r>
  </si>
  <si>
    <t>17.03.2025       №18</t>
  </si>
  <si>
    <r>
      <t>Додаткові кошти в сумі 20000 грн.</t>
    </r>
    <r>
      <rPr>
        <b/>
        <sz val="12"/>
        <rFont val="Times New Roman"/>
        <family val="1"/>
        <charset val="204"/>
      </rPr>
      <t>предмети, матеріали, обладанння та інвентар</t>
    </r>
    <r>
      <rPr>
        <sz val="12"/>
        <rFont val="Times New Roman"/>
        <family val="1"/>
        <charset val="204"/>
      </rPr>
      <t xml:space="preserve">, співфінансування за рахунок субвенції з бюджету </t>
    </r>
    <r>
      <rPr>
        <b/>
        <sz val="12"/>
        <rFont val="Times New Roman"/>
        <family val="1"/>
        <charset val="204"/>
      </rPr>
      <t xml:space="preserve"> Ганнівської сільської територіальної громади </t>
    </r>
    <r>
      <rPr>
        <sz val="12"/>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 відповідно до рішення  Ганнівської сільської  ради  від 19.12.2024 року №  1612 "Про  бюджет   Ганнівської сільської  територіальної громади на 2025 рік" в редакції рішення  Ганнівської сільської ї ради від 12.03.2025 року № 1655</t>
    </r>
  </si>
  <si>
    <r>
      <t xml:space="preserve">Додаткові кошти в сумі 20000 грн. </t>
    </r>
    <r>
      <rPr>
        <b/>
        <sz val="12"/>
        <rFont val="Times New Roman"/>
        <family val="1"/>
        <charset val="204"/>
      </rPr>
      <t>медикаменти та перев'язувальні матеріали</t>
    </r>
    <r>
      <rPr>
        <sz val="12"/>
        <rFont val="Times New Roman"/>
        <family val="1"/>
        <charset val="204"/>
      </rPr>
      <t xml:space="preserve">, співфінансування за рахунок субвенції з бюджету </t>
    </r>
    <r>
      <rPr>
        <b/>
        <sz val="12"/>
        <rFont val="Times New Roman"/>
        <family val="1"/>
        <charset val="204"/>
      </rPr>
      <t xml:space="preserve"> Ганнівської сільської територіальної громади </t>
    </r>
    <r>
      <rPr>
        <sz val="12"/>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 відповідно до рішення  Ганнівської сільської  ради  від 19.12.2024 року №  1612 "Про  бюджет   Ганнівської сільської  територіальної громади на 2025 рік" в редакції рішення  Ганнівської сільської ї ради від 12.03.2025 року № 1655</t>
    </r>
  </si>
  <si>
    <t>15.03.2025           № 979</t>
  </si>
  <si>
    <r>
      <t xml:space="preserve">Субвенція з бюджету Новоукраїнської  міської територіальної громади  державному бюджету,  в сумі 100000 грн. з метою оперативного виконання бойових завдань військовослужбовцями  із захисту від збройної агресії  </t>
    </r>
    <r>
      <rPr>
        <b/>
        <sz val="12"/>
        <rFont val="Times New Roman"/>
        <family val="1"/>
        <charset val="204"/>
      </rPr>
      <t xml:space="preserve">на капітальні видатки, зокрема  на придбання автомобіля, для виконання бойових завдань у районах ведення бойових дій для військової частини </t>
    </r>
    <r>
      <rPr>
        <sz val="12"/>
        <rFont val="Times New Roman"/>
        <family val="1"/>
        <charset val="204"/>
      </rPr>
      <t>А****, відповідно до вхідного листа від 17.03.2025 року № 1205/01-25, як установі, що фінансується з державного бюджету,  на виконання програм соціально-економічного розвитку регіонів та Комплексної  Програми підтримки військовослужбовців Сил територіальної оборони та Збройних Сил України на 2025 рік, за рахунок  вільного залишку коштів загального фонду бюджету Новоукраїнської  міської територіальної громади станом на 01.01.2024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(капітальні видатки)  КЕКВ 3220. </t>
    </r>
  </si>
  <si>
    <r>
      <t xml:space="preserve">Додаткові кошти в сумі 544120  грн.  </t>
    </r>
    <r>
      <rPr>
        <b/>
        <sz val="12"/>
        <rFont val="Times New Roman"/>
        <family val="1"/>
        <charset val="204"/>
      </rPr>
      <t xml:space="preserve">для виплати заробітної плати </t>
    </r>
    <r>
      <rPr>
        <sz val="12"/>
        <rFont val="Times New Roman"/>
        <family val="1"/>
        <charset val="204"/>
      </rPr>
      <t xml:space="preserve"> працівникам виконавчого комітету Новоукраїнської міської ради в сумі  446000 грн., КЕКВ 2111 та  </t>
    </r>
    <r>
      <rPr>
        <b/>
        <sz val="12"/>
        <rFont val="Times New Roman"/>
        <family val="1"/>
        <charset val="204"/>
      </rPr>
      <t>нарахування на заробітну плату</t>
    </r>
    <r>
      <rPr>
        <sz val="12"/>
        <rFont val="Times New Roman"/>
        <family val="1"/>
        <charset val="204"/>
      </rPr>
      <t xml:space="preserve"> в сумі 98120 грн. КЕКВ 2120, за рахунок  вільного залишку коштів загального фонду бюджету Новоукраїнської  міської територіальної громади станом на 01.01.2025 року, що утворився за рахунок додаткової дотації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 відповідно розпорядження Кабінету Міністрів України від 20 грудня 2024 р. N 1444-р,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t>
    </r>
    <r>
      <rPr>
        <b/>
        <sz val="12"/>
        <rFont val="Times New Roman"/>
        <family val="1"/>
        <charset val="204"/>
      </rPr>
      <t xml:space="preserve"> у зв'язку із внесеними змінами до структури та штатного розпису та з метою забезпечення видатків на оплату праці до кінця 2025 року для відділу з питань мобілізації</t>
    </r>
  </si>
  <si>
    <r>
      <t xml:space="preserve">Додаткові кошти в сумі 40000 грн. </t>
    </r>
    <r>
      <rPr>
        <b/>
        <sz val="12"/>
        <rFont val="Times New Roman"/>
        <family val="1"/>
        <charset val="204"/>
      </rPr>
      <t>для придбання двох ноутбуків</t>
    </r>
    <r>
      <rPr>
        <sz val="12"/>
        <rFont val="Times New Roman"/>
        <family val="1"/>
        <charset val="204"/>
      </rPr>
      <t>, у зв'язку з збільшенням працівників управління соціального захисту та охорони здоров'я, за рахунок перевиконання дохідної частини загального фонду бюджету Новоукраїнської міської територіальної громади станом на 01.03.2025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КЕКВ 3110 </t>
    </r>
  </si>
  <si>
    <t>14.02.2025 №14</t>
  </si>
  <si>
    <t>Перерозподіл бюджетних призначень в межах виділених річних асигнувань в сумі 75000 грн.,  перенесення фінансування  на КПКВ 0215031 КЕКВ 2240, а саме зменшення фінансування  на поточний ремонт дорожнього покриття вулиць громади повітряно-стуменевим методом КЕКВ 2240, у зв'язку із необхідністю ремонту бігових доріжок на міському стадіоні.</t>
  </si>
  <si>
    <t>01.04.2025          № 5559 01-58</t>
  </si>
  <si>
    <r>
      <t xml:space="preserve">Додаткові кошти в сумі 10800 грн. </t>
    </r>
    <r>
      <rPr>
        <b/>
        <sz val="12"/>
        <rFont val="Times New Roman"/>
        <family val="1"/>
        <charset val="204"/>
      </rPr>
      <t xml:space="preserve"> на предмети матеріали обладнання та інвентар, співфінансування за рахунок субвенції з бюджету  Рівнянської сільської територіальної громади </t>
    </r>
    <r>
      <rPr>
        <sz val="12"/>
        <rFont val="Times New Roman"/>
        <family val="1"/>
        <charset val="204"/>
      </rPr>
      <t xml:space="preserve">для </t>
    </r>
    <r>
      <rPr>
        <b/>
        <sz val="12"/>
        <rFont val="Times New Roman"/>
        <family val="1"/>
        <charset val="204"/>
      </rPr>
      <t>КНП "Центр первинної медико-санітарної допомоги"</t>
    </r>
    <r>
      <rPr>
        <sz val="12"/>
        <rFont val="Times New Roman"/>
        <family val="1"/>
        <charset val="204"/>
      </rPr>
      <t>, як одержувачу коштів управління соціального захисту та охорони здоров'я  Новоукраїнської міської ради  КЕКВ 2610 (рішення  Рівнянської сільської ради від 20.12.2024 року №2515 "Про бюджет Рівнянської сільської територіальної громади на 2025 рік" із змінами внесеними рішенням  від  28.03.2025 року №2615)</t>
    </r>
  </si>
  <si>
    <r>
      <t xml:space="preserve">Додаткові кошти в сумі 107800 грн. </t>
    </r>
    <r>
      <rPr>
        <b/>
        <sz val="12"/>
        <rFont val="Times New Roman"/>
        <family val="1"/>
        <charset val="204"/>
      </rPr>
      <t xml:space="preserve"> на медикаменти та перев'язувальні матеріали, співфінансування за рахунок субвенції з бюджету  Рівнянської сільської територіальної громади </t>
    </r>
    <r>
      <rPr>
        <sz val="12"/>
        <rFont val="Times New Roman"/>
        <family val="1"/>
        <charset val="204"/>
      </rPr>
      <t xml:space="preserve">для </t>
    </r>
    <r>
      <rPr>
        <b/>
        <sz val="12"/>
        <rFont val="Times New Roman"/>
        <family val="1"/>
        <charset val="204"/>
      </rPr>
      <t>КНП "Центр первинної медико-санітарної допомоги"</t>
    </r>
    <r>
      <rPr>
        <sz val="12"/>
        <rFont val="Times New Roman"/>
        <family val="1"/>
        <charset val="204"/>
      </rPr>
      <t>, як одержувачу коштів управління соціального захисту та охорони здоров'я  Новоукраїнської міської ради  КЕКВ 2610 (рішення  Рівнянської сільської ради від 20.12.2024 року №2515 "Про бюджет Рівнянської сільської територіальної громади на 2025 рік" із змінами внесеними рішенням  від  28.03.2025 року №2615)</t>
    </r>
  </si>
  <si>
    <r>
      <t xml:space="preserve">Додаткові кошти в сумі 100000 грн. </t>
    </r>
    <r>
      <rPr>
        <b/>
        <sz val="12"/>
        <rFont val="Times New Roman"/>
        <family val="1"/>
        <charset val="204"/>
      </rPr>
      <t xml:space="preserve"> на оплату комунальних послуг та енергоносіїв, співфінансування за рахунок субвенції з бюджету  Рівнянської сільської територіальної громади </t>
    </r>
    <r>
      <rPr>
        <sz val="12"/>
        <rFont val="Times New Roman"/>
        <family val="1"/>
        <charset val="204"/>
      </rPr>
      <t xml:space="preserve">для </t>
    </r>
    <r>
      <rPr>
        <b/>
        <sz val="12"/>
        <rFont val="Times New Roman"/>
        <family val="1"/>
        <charset val="204"/>
      </rPr>
      <t>КНП "Центр первинної медико-санітарної допомоги"</t>
    </r>
    <r>
      <rPr>
        <sz val="12"/>
        <rFont val="Times New Roman"/>
        <family val="1"/>
        <charset val="204"/>
      </rPr>
      <t>, як одержувачу коштів управління соціального захисту та охорони здоров'я  Новоукраїнської міської ради  КЕКВ 2610 (рішення  Рівнянської сільської ради від 20.12.2024 року №2515 "Про бюджет Рівнянської сільської територіальної громади на 2025 рік" із змінами внесеними рішенням  від  28.03.2025 року №2615)</t>
    </r>
  </si>
  <si>
    <r>
      <t xml:space="preserve">Додаткові кошти в сумі 84568 грн. </t>
    </r>
    <r>
      <rPr>
        <b/>
        <sz val="12"/>
        <rFont val="Times New Roman"/>
        <family val="1"/>
        <charset val="204"/>
      </rPr>
      <t xml:space="preserve"> на оплату праці з нарахуваннями, співфінансування за рахунок субвенції з бюджету  Рівнянської сільської територіальної громади </t>
    </r>
    <r>
      <rPr>
        <sz val="12"/>
        <rFont val="Times New Roman"/>
        <family val="1"/>
        <charset val="204"/>
      </rPr>
      <t xml:space="preserve">для </t>
    </r>
    <r>
      <rPr>
        <b/>
        <sz val="12"/>
        <rFont val="Times New Roman"/>
        <family val="1"/>
        <charset val="204"/>
      </rPr>
      <t>КНП "Центр первинної медико-санітарної допомоги"</t>
    </r>
    <r>
      <rPr>
        <sz val="12"/>
        <rFont val="Times New Roman"/>
        <family val="1"/>
        <charset val="204"/>
      </rPr>
      <t>, як одержувачу коштів управління соціального захисту та охорони здоров'я  Новоукраїнської міської ради  КЕКВ 2610 (рішення  Рівнянської сільської ради від 20.12.2024 року №2515 "Про бюджет Рівнянської сільської територіальної громади на 2025 рік" із змінами внесеними рішенням  від  28.03.2025 року №2615)</t>
    </r>
  </si>
  <si>
    <r>
      <t xml:space="preserve">Додаткові кошти в сумі 108900 грн. </t>
    </r>
    <r>
      <rPr>
        <b/>
        <sz val="12"/>
        <rFont val="Times New Roman"/>
        <family val="1"/>
        <charset val="204"/>
      </rPr>
      <t>на придбання медикаментів та перев'язувальних матеріалів, співфінансування за рахунок субвенції з бюджету  Рівнянської сільської територіальної громади для КНП "Новоукраїнська  міська лікарня"</t>
    </r>
    <r>
      <rPr>
        <sz val="12"/>
        <rFont val="Times New Roman"/>
        <family val="1"/>
        <charset val="204"/>
      </rPr>
      <t>, як одержувачу коштів управління соціального захисту та охорони здоров'я  Новоукраїнської міської ради, відповідно до  рішення  Рівнянської сільської ради від 20.12.2024 року №2515 "Про бюджет Рівнянської сільської територіальної громади на 2025 рік" із змінами внесеними рішенням  від  28.03.2025 року №2615 КЕКВ 2610</t>
    </r>
  </si>
  <si>
    <r>
      <t xml:space="preserve">Додаткові кошти в сумі 91100 грн. </t>
    </r>
    <r>
      <rPr>
        <b/>
        <sz val="12"/>
        <rFont val="Times New Roman"/>
        <family val="1"/>
        <charset val="204"/>
      </rPr>
      <t>на предмети, матеріали, обладанння та інвентар, співфінансування за рахунок субвенції з бюджету  Рівнянської сільської територіальної громади для КНП "Новоукраїнська  міська лікарня"</t>
    </r>
    <r>
      <rPr>
        <sz val="12"/>
        <rFont val="Times New Roman"/>
        <family val="1"/>
        <charset val="204"/>
      </rPr>
      <t>, як одержувачу коштів управління соціального захисту та охорони здоров'я  Новоукраїнської міської ради, відповідно до  рішення  Рівнянської сільської ради від 20.12.2024 року №2515 "Про бюджет Рівнянської сільської територіальної громади на 2025 рік" із змінами внесеними рішенням  від  28.03.2025 року №2615 КЕКВ 2610</t>
    </r>
  </si>
  <si>
    <t>на предмети та обладанння довгострокового користування</t>
  </si>
  <si>
    <t>02.04.2025     №200/01-14</t>
  </si>
  <si>
    <r>
      <t xml:space="preserve"> Перерозподіл бюджетних призначень в межах виділених річних асигнувань  в сумі 34647 грн., відповідно до клопотання начальника відділу з питань житлово-комунального господарства та Новоукраїнського ЖКП, збільшення фінансування </t>
    </r>
    <r>
      <rPr>
        <b/>
        <sz val="12"/>
        <color theme="1"/>
        <rFont val="Times New Roman"/>
        <family val="1"/>
        <charset val="204"/>
      </rPr>
      <t>на оплату медичного огляду працівників</t>
    </r>
    <r>
      <rPr>
        <sz val="12"/>
        <color theme="1"/>
        <rFont val="Times New Roman"/>
        <family val="1"/>
        <charset val="204"/>
      </rPr>
      <t xml:space="preserve">,  як фінансову підтримку Новоукраїнському ЖКП одержувачу коштів бюджету   Новоукраїнської  міської територіальної громади, через головного розпорядника коштів виконавчий комітет Новоукраїнської міської ради КЕКВ 2610,  за рахунок перенесення фінансування  з КПКВ 0216030 КЕКВ 2273 </t>
    </r>
  </si>
  <si>
    <t>Перерозподіл бюджетних призначень в межах виділених річних асигнувань  в сумі 54000 грн., перенесення фінансування  з КПКВ 0216030 КЕКВ 2273, збільшення фінансування відповідно до клопотання начальника відділу з питань житлово-комунального господарства та КП "Водокомунгосп", на оплату послуг з реєстрації свердловин в Державному реєстрі артезіанських свердловин, як фінансову підтримку одержувачу коштів бюджету   Новоукраїнської  міської територіальної громади, через головного розпорядника коштів виконавчий комітет Новоукраїнської міської ради КЕКВ 2610</t>
  </si>
  <si>
    <r>
      <t xml:space="preserve">Перерозподіл бюджетних призначень в межах виділених річних асигнувань  в сумі 60000 грн., перенесення фінансування  з КПКВ 0216030 КЕКВ 2273, збільшення фінансування відповідно до клопотання начальника відділу з питань житлово-комунального господарства та КП "Водокомунгосп", </t>
    </r>
    <r>
      <rPr>
        <b/>
        <sz val="12"/>
        <rFont val="Times New Roman"/>
        <family val="1"/>
        <charset val="204"/>
      </rPr>
      <t>на виготовлення та експертизу проектно-кошторисної документації по проекту Будівництво водопровідної мережі по провулку Олександра Гіталова між вул. Покровська та вул. Соборна</t>
    </r>
    <r>
      <rPr>
        <sz val="12"/>
        <rFont val="Times New Roman"/>
        <family val="1"/>
        <charset val="204"/>
      </rPr>
      <t>, як фінансову підтримку одержувачу коштів бюджету   Новоукраїнської  міської територіальної громади, через головного розпорядника коштів виконавчий комітет Новоукраїнської міської ради КЕКВ 3210</t>
    </r>
  </si>
  <si>
    <r>
      <t xml:space="preserve">Перерозподіл бюджетних призначень в межах виділених річних асигнувань  в сумі 110000 грн., перенесення фінансування  з КПКВ 0216030 КЕКВ 2273, збільшення фінансування відповідно до клопотання начальника відділу з питань житлово-комунального господарства та КП "Водокомунгосп", </t>
    </r>
    <r>
      <rPr>
        <b/>
        <sz val="12"/>
        <rFont val="Times New Roman"/>
        <family val="1"/>
        <charset val="204"/>
      </rPr>
      <t>на придбання будівельних матеріалів для реалізації проекту Будівництво водопровідної мережі по провулку Олександра Гіталова між вул. Покровська та вул. Соборна власними силами</t>
    </r>
    <r>
      <rPr>
        <sz val="12"/>
        <rFont val="Times New Roman"/>
        <family val="1"/>
        <charset val="204"/>
      </rPr>
      <t>, як фінансову підтримку одержувачу коштів бюджету   Новоукраїнської  міської територіальної громади, через головного розпорядника коштів виконавчий комітет Новоукраїнської міської ради КЕКВ 3210</t>
    </r>
  </si>
  <si>
    <t>Додаткові кошти в сумі 113800 грн.  на  обладнання та предмети довгострокового користування, співфінансування за рахунок субвенції з бюджету   Рівнянської  сільської територіальної громади 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3210 (рішення   Рівнянської  сільської ради від 20.12.2024 року №2515 "Про бюджет  Рівнянської сільської територіальної громади на 2025 рік" із змінами внесеними рішенням  від 28.03.2025 року №2615)</t>
  </si>
  <si>
    <t>02.04.2025     №199/01-14</t>
  </si>
  <si>
    <t>Перерозподіл бюджетних призначень в межах виділених річних асигнувань в сумі -500000 грн., перенесення фінансування  на  КПКВ 0611141  КЕКВ 2111 в сумі  409836 грн. та КЕКВ 2120 в сумі 90164 грн., зменшення фінансування на виплату заробітної плати працівникам по дошкільних  навчальних закладів, у зв'язку із  виробничою необхідністю  в сумі    409836 грн., КЕКВ 2111 та  нарахування на заробітну плату в сумі 90164  грн. КЕКВ 2120</t>
  </si>
  <si>
    <t>Перерозподіл бюджетних призначень в межах виділених річних асигнувань в сумі 200000 грн., перенесення фінансування  на  КПКВ 0611141  КЕКВ 2111 в сумі  163934 грн. та КЕКВ 2120 в сумі 36066 грн., зменшення фінансування на виплату заробітної плати працівникам по Новоукраїнському міжшкільному ресурсному центру, у зв'язку із  виробничою необхідністю  в сумі    163934 грн., КЕКВ 2111 та  нарахування на заробітну плату в сумі 36066 грн. КЕКВ 2120</t>
  </si>
  <si>
    <t xml:space="preserve">Перерозподіл бюджетних призначень в межах виділених річних асигнувань в сумі 1070000 грн., перенесення фінансування  з  КПКВ 0611010  КЕКВ 2111 в сумі  409836 грн. та КЕКВ 2120 в сумі 90164 грн., КПКВ 0611026  КЕКВ 2111 в сумі  163934 грн. та КЕКВ 2120 в сумі 36066 грн., КПКВ 0611070  КЕКВ 2111 в сумі  163934 грн. та КЕКВ 2120 в сумі 36066 грн., КПКВ 0611160  КЕКВ 2111 в сумі  139344 грн. та КЕКВ 2120 в сумі 30656 грн., збільшення фінансування на виплату заробітної плати   в сумі    877048 грн., КЕКВ 2111 та  нарахування на заробітну плату в сумі 192952 грн. КЕКВ 2120 працівникам централізованої бухгалтерії.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t>
  </si>
  <si>
    <r>
      <t xml:space="preserve">Перерозподіл бюджетних призначень в межах виділених річних асигнувань в сумі 112000 грн.,  а саме </t>
    </r>
    <r>
      <rPr>
        <b/>
        <sz val="12"/>
        <rFont val="Times New Roman"/>
        <family val="1"/>
        <charset val="204"/>
      </rPr>
      <t xml:space="preserve">збільшення фінансування на предмети, матеріали, обладанння та інвентар (на придбання паперу)  для </t>
    </r>
    <r>
      <rPr>
        <sz val="12"/>
        <rFont val="Times New Roman"/>
        <family val="1"/>
        <charset val="204"/>
      </rPr>
      <t xml:space="preserve"> дошкільних  навчальних закладів  КЕКВ 2210,  за рахунок перенесення фінансування  з КПКВ 0611021 КЕКВ 2230.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t>
    </r>
  </si>
  <si>
    <r>
      <t xml:space="preserve">Перерозподіл бюджетних призначень в межах виділених річних асигнувань в сумі 285600 грн.,  а саме </t>
    </r>
    <r>
      <rPr>
        <b/>
        <sz val="12"/>
        <rFont val="Times New Roman"/>
        <family val="1"/>
        <charset val="204"/>
      </rPr>
      <t xml:space="preserve">зменшення фінансування на продукти харчування </t>
    </r>
    <r>
      <rPr>
        <sz val="12"/>
        <rFont val="Times New Roman"/>
        <family val="1"/>
        <charset val="204"/>
      </rPr>
      <t xml:space="preserve"> по загальноосвітніх  навчальних закладах  КЕКВ 2230,  за рахунок перенесення фінансування  на КПКВ 0611010  КЕКВ 2210 в сумі 112000 грн., на КПКВ 0611021  КЕКВ 2210 в сумі 128000 грн., на КПКВ 0611026  КЕКВ 2210 в сумі 3200 грн., на КПКВ 0611070  КЕКВ 2210 в сумі 4000 грн., на КПКВ 0611141  КЕКВ 2210 в сумі 36000 грн., на КПКВ 0611151  КЕКВ 2210 в сумі 1600 грн., на КПКВ 0611160  КЕКВ 2210 в сумі 8000 грн., у зв'язку з економією коштів</t>
    </r>
  </si>
  <si>
    <r>
      <t xml:space="preserve">Перерозподіл бюджетних призначень в межах виділених річних асигнувань в сумі 421800 грн.,  а саме </t>
    </r>
    <r>
      <rPr>
        <b/>
        <sz val="12"/>
        <rFont val="Times New Roman"/>
        <family val="1"/>
        <charset val="204"/>
      </rPr>
      <t xml:space="preserve">зменшення фінансування на продукти харчування </t>
    </r>
    <r>
      <rPr>
        <sz val="12"/>
        <rFont val="Times New Roman"/>
        <family val="1"/>
        <charset val="204"/>
      </rPr>
      <t xml:space="preserve"> по загальноосвітніх  навчальних закладах  КЕКВ 2230,  за рахунок перенесення фінансування  на КПКВ 0611010  КЕКВ 2240 в сумі 142000 грн., на КПКВ 0611021  КЕКВ 2240 в сумі 250000 грн., на КПКВ 0611026  КЕКВ 2240 в сумі 8000 грн., на КПКВ 0611070  КЕКВ 2240 в сумі 18000 грн.,  на КПКВ 0611151  КЕКВ 2240 в сумі 3800 грн., у зв'язку з економією коштів</t>
    </r>
  </si>
  <si>
    <r>
      <t xml:space="preserve">Перерозподіл бюджетних призначень в межах виділених річних асигнувань в сумі 4000 грн.,  а саме </t>
    </r>
    <r>
      <rPr>
        <b/>
        <sz val="12"/>
        <color theme="1"/>
        <rFont val="Times New Roman"/>
        <family val="1"/>
        <charset val="204"/>
      </rPr>
      <t>збільшення фінансування на придбання предметів, матеріалів, обладанння та інвентарю  (на придбання паперу)  ЦДЮТ "Зоріт"</t>
    </r>
    <r>
      <rPr>
        <sz val="12"/>
        <color theme="1"/>
        <rFont val="Times New Roman"/>
        <family val="1"/>
        <charset val="204"/>
      </rPr>
      <t xml:space="preserve"> КЕКВ 2210 , зв'язку з виробничою необхідністю, за рахунок перенесення фінансування  з КПКВ 0611021  КЕКВ 2230.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t>
    </r>
  </si>
  <si>
    <r>
      <t xml:space="preserve">Перерозподіл бюджетних призначень в межах виділених річних асигнувань в сумі 1600 грн.,  а саме збільшення фінансування на придбання предметів, матеріалів, обладанння та інвентарю  </t>
    </r>
    <r>
      <rPr>
        <b/>
        <sz val="12"/>
        <rFont val="Times New Roman"/>
        <family val="1"/>
        <charset val="204"/>
      </rPr>
      <t>(на придбання паперу)  по  інклюзивно-ресурсному центру</t>
    </r>
    <r>
      <rPr>
        <sz val="12"/>
        <rFont val="Times New Roman"/>
        <family val="1"/>
        <charset val="204"/>
      </rPr>
      <t xml:space="preserve"> КЕКВ 2210 , зв'язку з виробничою необхідністю, за рахунок перенесення фінансування  з КПКВ 0611021  КЕКВ 2230.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t>
    </r>
  </si>
  <si>
    <r>
      <t xml:space="preserve">Перерозподіл бюджетних призначень в межах виділених річних асигнувань в сумі 200000 грн., перенесення фінансування  на  КПКВ 0611141  КЕКВ 2111 в сумі  163934 грн. та КЕКВ 2120 в сумі 36066 грн., зменшення фінансування </t>
    </r>
    <r>
      <rPr>
        <b/>
        <sz val="12"/>
        <color theme="1"/>
        <rFont val="Times New Roman"/>
        <family val="1"/>
        <charset val="204"/>
      </rPr>
      <t>на виплату заробітної плати працівникам по ЦДЮТ "Зоріт"</t>
    </r>
    <r>
      <rPr>
        <sz val="12"/>
        <color theme="1"/>
        <rFont val="Times New Roman"/>
        <family val="1"/>
        <charset val="204"/>
      </rPr>
      <t>, у зв'язку із  виробничою необхідністю  в сумі    163934 грн., КЕКВ 2111 та  нарахування на заробітну плату в сумі 36066 грн. КЕКВ 2120</t>
    </r>
  </si>
  <si>
    <r>
      <t xml:space="preserve">Перерозподіл бюджетних призначень в межах виділених річних асигнувань в сумі 68399 грн.,  а саме </t>
    </r>
    <r>
      <rPr>
        <b/>
        <sz val="12"/>
        <rFont val="Times New Roman"/>
        <family val="1"/>
        <charset val="204"/>
      </rPr>
      <t xml:space="preserve">збільшення фінансування на предмети, матеріали, обладанння та інвентар  для </t>
    </r>
    <r>
      <rPr>
        <sz val="12"/>
        <rFont val="Times New Roman"/>
        <family val="1"/>
        <charset val="204"/>
      </rPr>
      <t xml:space="preserve"> дошкільних  навчальних закладів  КЕКВ 2210,  за рахунок перенесення фінансування  з КПКВ 0611021 КЕКВ 2230.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t>
    </r>
  </si>
  <si>
    <t xml:space="preserve">Перерозподіл бюджетних призначень в межах виділених річних асигнувань в сумі 75000 грн., перенесення фінансування з КПКВ 0217461 КЕКВ 2240, а саме збільшення фінансування на оплату послуг (крім комунальних)  (ремонт бігових доріжок на центральному міському стадіоні) КЕКВ 2240, у зв'язку з виробничою неохідністю. </t>
  </si>
  <si>
    <r>
      <t>Відмовити у виділені додаткових коштів  сумі 91000 грн. на поточний ремонт трансформаторної підстанції в</t>
    </r>
    <r>
      <rPr>
        <b/>
        <sz val="12"/>
        <rFont val="Times New Roman"/>
        <family val="1"/>
        <charset val="204"/>
      </rPr>
      <t xml:space="preserve"> на очисних по вулиці  Героїв - рятувальників (КТП-73)</t>
    </r>
    <r>
      <rPr>
        <sz val="12"/>
        <rFont val="Times New Roman"/>
        <family val="1"/>
        <charset val="204"/>
      </rPr>
      <t>, у зв'язку з відсутністю коштів, зокрема перевиконання дохідної частини загального фонду бюджету Новоукраїнської міської територіальної громади станом на 01.04.2024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t>
    </r>
  </si>
  <si>
    <r>
      <t xml:space="preserve">Додаткові кошти в сумі 23000 грн.,  </t>
    </r>
    <r>
      <rPr>
        <b/>
        <sz val="12"/>
        <rFont val="Times New Roman"/>
        <family val="1"/>
        <charset val="204"/>
      </rPr>
      <t>на оплати електроенергії по вуличному освітленню</t>
    </r>
    <r>
      <rPr>
        <sz val="12"/>
        <rFont val="Times New Roman"/>
        <family val="1"/>
        <charset val="204"/>
      </rPr>
      <t>, у зв'язку збільшенням вартості та кількості електроенергії КЕКВ 2273</t>
    </r>
    <r>
      <rPr>
        <b/>
        <sz val="12"/>
        <rFont val="Times New Roman"/>
        <family val="1"/>
        <charset val="204"/>
      </rPr>
      <t xml:space="preserve">, </t>
    </r>
    <r>
      <rPr>
        <sz val="12"/>
        <rFont val="Times New Roman"/>
        <family val="1"/>
        <charset val="204"/>
      </rPr>
      <t xml:space="preserve">за рахунок   залишку коштів </t>
    </r>
    <r>
      <rPr>
        <b/>
        <sz val="12"/>
        <rFont val="Times New Roman"/>
        <family val="1"/>
        <charset val="204"/>
      </rPr>
      <t>спеціального фонду</t>
    </r>
    <r>
      <rPr>
        <sz val="12"/>
        <rFont val="Times New Roman"/>
        <family val="1"/>
        <charset val="204"/>
      </rPr>
      <t xml:space="preserve"> бюджету Новоукраїнської  міської територіальної громади станом на 01.01.2025 року, відповідно до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(бюджет розвитку, кошти передані із спеціального до загального фонду бюджету).    </t>
    </r>
  </si>
  <si>
    <r>
      <t xml:space="preserve">Перерозподіл субвенції з бюджету Новоукраїнської  міської територіальної громади  державному бюджету,  в сумі 60000 грн. </t>
    </r>
    <r>
      <rPr>
        <b/>
        <sz val="12"/>
        <rFont val="Times New Roman"/>
        <family val="1"/>
        <charset val="204"/>
      </rPr>
      <t xml:space="preserve">на придбання аварійно-рятувального обладнання та тепловідбивних костюмів для забезпечення оперативного та швидкого реагування служби на надзвичайні ситуації в Новоукраїнській територіальній громаді </t>
    </r>
    <r>
      <rPr>
        <sz val="12"/>
        <rFont val="Times New Roman"/>
        <family val="1"/>
        <charset val="204"/>
      </rPr>
      <t xml:space="preserve"> на виконання програм соціально-економічного розвитку регіонів для  4 державного пожежно-рятувального загону  ГУ ДСНС України у Кіровоградській області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територіальної громади на 2021-2025 роки",  як установі, що фінансується з державного бюджету з капітальних видатків на поточні КЕКВ 2620 (поточні видатки), за рахунок перенесення фінансування  з КПКВ 0219800 КЕКВ 3220</t>
    </r>
  </si>
  <si>
    <r>
      <t xml:space="preserve">Перерозподіл субвенції з бюджету Новоукраїнської  міської територіальної громади  державному бюджету,  в сумі 60000 грн. </t>
    </r>
    <r>
      <rPr>
        <b/>
        <sz val="12"/>
        <rFont val="Times New Roman"/>
        <family val="1"/>
        <charset val="204"/>
      </rPr>
      <t xml:space="preserve">на придбання аварійно-рятувального обладнання для забезпечення оперативного та швидкого реагування служби на надзвичайні ситуації в Новоукраїнській територіальній громаді </t>
    </r>
    <r>
      <rPr>
        <sz val="12"/>
        <rFont val="Times New Roman"/>
        <family val="1"/>
        <charset val="204"/>
      </rPr>
      <t xml:space="preserve"> на виконання програм соціально-економічного розвитку регіонів для  4 державного пожежно-рятувального загону  ГУ ДСНС України у Кіровоградській області на виконання Комплексної програми попередження та припинення протиправних дій у сфері державної безпеки, профілактики злочинності та цивільного захисту населення на території  Новоукраїнської міської територіальної громади на 2021-2025 роки",  як установі, що фінансується з державного бюджету з капітальних видатків на поточні КЕКВ 3220 (капітальні видатки, бюджет розвитку), за рахунок перенесення фінансування  на КПКВ 0219800 КЕКВ 2620</t>
    </r>
  </si>
  <si>
    <t>на виготовлення та експертизу проектно-кошторисної документації по проекту Будівництво водопровідної мережі по провулку Олександра Гіталова між вул. Покровська та вул. Соборна та придбання будівельних матеріалів для реалізації проекту</t>
  </si>
  <si>
    <t>Перерозподіл бюджетних призначень в межах виділених річних асигнувань в сумі 99000 грн., перенесення фінансування  з  КПКВ 0216030  КЕКВ 2273, збільшення фінансування на оплату послуги з благоустрію території модульного будинку для розміщення старостату та фельдшерського пункту для забезпечення надання адміністративних та медичних послуг сіл Мар'янопіль та Кам'яний Міст Новоукраїнської міської територіальної громади (монтаж огорожі та тротуарної плитки) КЕКВ 2240</t>
  </si>
  <si>
    <t>04.04.2025 №16</t>
  </si>
  <si>
    <t>04.04.2025          № 89/01-20</t>
  </si>
  <si>
    <t>Додаткові кошти  в сумі 621556 грн. на здійснення доплат педагогічним працівникам Новоукраїнської дитячої музичної школи,  а саме  на виплату заробітної плати  в сумі 509472 грн. КЕКВ 2111 та нарахування на заробітну плату в сумі 112084 грн. КЕКВ 2120, згідно постанови КМУ від  08.11.2024 року №1268 по дошкільних  навчальних закладах  КЕКВ 2210, за рахунок  вільного залишку коштів загального фонду бюджету Новоукраїнської  міської територіальної громади станом на 01.01.2025 року,   відповідно та пункту 228 розділу VI "Прикінцеві та перехідні положення" Бюджетного кодексу України, для здійснення виплати щомісячної доплати за роботу в несприятливих умовах праці</t>
  </si>
  <si>
    <r>
      <t xml:space="preserve">Перерозподіл бюджетних призначень в межах виділених річних асигнувань в сумі  40000 грн., перенесення фінансування  на КПКВ 0210150 КЕКВ 2210 в сумі 20000 грн. та КЕКВ 3110 в сумі 20000 грн.,  за рахунок зменшення коштів </t>
    </r>
    <r>
      <rPr>
        <b/>
        <sz val="12"/>
        <rFont val="Times New Roman"/>
        <family val="1"/>
        <charset val="204"/>
      </rPr>
      <t>для придбання двох ноутбуків для</t>
    </r>
    <r>
      <rPr>
        <sz val="12"/>
        <rFont val="Times New Roman"/>
        <family val="1"/>
        <charset val="204"/>
      </rPr>
      <t xml:space="preserve">  управління соціального захисту та охорони здоров'я  КЕКВ 2210 </t>
    </r>
  </si>
  <si>
    <t>07.04.2025 №1504/01-21</t>
  </si>
  <si>
    <t>Перерозподіл бюджетних призначень в межах виділених річних асигнувань в сумі 20000 грн., перенесення фінансування  з  КПКВ 0810160  КЕКВ 2210, збільшення фінансування  на предмети, матеріали, обладнання та інвентар  (придбання ноутбука, який буде використовуватись також і для роботи програми "Голос-рада") КЕКВ 3110</t>
  </si>
  <si>
    <t>04.04.2024 №1504/01-21</t>
  </si>
  <si>
    <r>
      <t xml:space="preserve">Перерозподіл бюджетних призначень в межах виділених річних асигнувань в сумі 44000 грн., перенесення фінансування  на КПКВ 0210180 КЕКВ 2210  сумі 4000 грн. КЕКВ 3110  сумі 40000 грн., а саме зменшення фінансування  </t>
    </r>
    <r>
      <rPr>
        <b/>
        <sz val="12"/>
        <color indexed="8"/>
        <rFont val="Times New Roman"/>
        <family val="1"/>
        <charset val="204"/>
      </rPr>
      <t xml:space="preserve">з міні - проектів та збільшення фінансування  на реалізацію міні - проектів, які стали переможцями у конкурсі </t>
    </r>
    <r>
      <rPr>
        <sz val="12"/>
        <color indexed="8"/>
        <rFont val="Times New Roman"/>
        <family val="1"/>
        <charset val="204"/>
      </rPr>
      <t xml:space="preserve"> КЕКВ 2210</t>
    </r>
  </si>
  <si>
    <r>
      <t xml:space="preserve"> Перерозподіл бюджетних призначень в межах виділених річних асигнувань  в сумі 54000 грн., зменшення фінансування</t>
    </r>
    <r>
      <rPr>
        <b/>
        <sz val="12"/>
        <rFont val="Times New Roman"/>
        <family val="1"/>
        <charset val="204"/>
      </rPr>
      <t xml:space="preserve"> на оплату електроенергії по вуличному освітленню </t>
    </r>
    <r>
      <rPr>
        <sz val="12"/>
        <rFont val="Times New Roman"/>
        <family val="1"/>
        <charset val="204"/>
      </rPr>
      <t xml:space="preserve">Новоукраїнської міської територіальної громади, у зв'язку з необхідністю КЕКВ 2273,  за рахунок перенесення фінансування  на КПКВ 0216013  КЕКВ 2610 </t>
    </r>
  </si>
  <si>
    <r>
      <t xml:space="preserve">Перерозподіл бюджетних призначень в межах виділених річних асигнувань в сумі 80000 грн., перенесення фінансування  на КПКВ 0216090 КЕКВ 3110, а саме зменшення фінансування  </t>
    </r>
    <r>
      <rPr>
        <b/>
        <sz val="12"/>
        <color indexed="8"/>
        <rFont val="Times New Roman"/>
        <family val="1"/>
        <charset val="204"/>
      </rPr>
      <t xml:space="preserve">з міні - проектів та збільшення фінансування  на реалізацію міні - проектів, які стали переможцями у конкурсі </t>
    </r>
    <r>
      <rPr>
        <sz val="12"/>
        <color indexed="8"/>
        <rFont val="Times New Roman"/>
        <family val="1"/>
        <charset val="204"/>
      </rPr>
      <t xml:space="preserve"> КЕКВ 2210</t>
    </r>
  </si>
  <si>
    <t>02.04.2025     №417/01-16</t>
  </si>
  <si>
    <t>08.04.2025 №1518/01-21</t>
  </si>
  <si>
    <r>
      <t xml:space="preserve">Перерозподіл бюджетних призначень в межах виділених річних асигнувань в сумі 205197 грн.,  а саме </t>
    </r>
    <r>
      <rPr>
        <b/>
        <sz val="12"/>
        <rFont val="Times New Roman"/>
        <family val="1"/>
        <charset val="204"/>
      </rPr>
      <t xml:space="preserve">зменшення фінансування на продукти харчування </t>
    </r>
    <r>
      <rPr>
        <sz val="12"/>
        <rFont val="Times New Roman"/>
        <family val="1"/>
        <charset val="204"/>
      </rPr>
      <t xml:space="preserve"> по загальноосвітніх  навчальних закладах  КЕКВ 2230,  за рахунок перенесення фінансування  на КПКВ 0611010  КЕКВ 2210 в сумі 68399 грн., на КПКВ 0611021  КЕКВ 2210 в сумі 33399 грн. та КЕКВ 3132 в сумі 35000 грн., на КПКВ 0611026  КЕКВ 2210 в сумі 15594 грн., на КПКВ 0611070  КЕКВ 2210 в сумі 37305 грн.,  КЕКВ 2730 в сумі 15500 грн., у зв'язку з економією коштів</t>
    </r>
  </si>
  <si>
    <t>08.04.2025 №1519/01-21</t>
  </si>
  <si>
    <t>Перерозподіл бюджетних призначень в межах виділених річних асигнувань в сумі 70000 грн.,  перенесення фінансування  з КПКВ 0218240 КЕКВ 2210, а саме збільшення фінансування на капітальні видатки  на придбання ретрансляторів на реалізацію   Комплексної  Програми підтримки військовослужбовців Сил територіальної оборони та Збройних Сил України на 2025 рік  (пункт 6 Програми), на виконання поставлених бойових завдань для придбання товарів подвійного призначення для потреб Сил територіальної оборони  для забезпечення готовності підрозділів Сил територіальної оборони, ЗСУ до виконання завдань за призначенням, як заходи та роботи з територіальної оборони та мобілізаційної підготовки, підтримку сил безпеки і оборони для військової частини, з подальшою передачею відповідно до рішення міської ради та акта для потреб територіальної оборони (військової частини) КЕКВ 3110</t>
  </si>
  <si>
    <t>Перерозподіл бюджетних призначень в межах виділених річних асигнувань в сумі 20000 грн., перенесення фінансування  з  КПКВ 0810160  КЕКВ 2210, збільшення фінансування  на предмети, матеріали, обладнання та інвентар  (придбання камер відеоспостереження, засобів безперебійного живлення для модемів та роутерів, що забезпечить довготривалу роботу обладнання, яке забезпечує доступ до мережі інтернет структурних підрозділів виконавчого   комітету Новоукраїнської міської ради за відсутності електропостачання) КЕКВ 2210</t>
  </si>
  <si>
    <t>Перерозподіл бюджетних призначень в межах виділених річних асигнувань в сумі 43500 грн., перенесення фінансування з КПКВ 0216030 КЕКВ 2210,  збільшення фінансування на реалізацію міні-проекту "Шкільний АероТех"  переможця конкурсу міні-проектів Новоукраїнської міської об'єднаної територіальної громади "Влада і громада - разом!" -  на придбання: рама Mark4 7"295 mm- 500 грн, відеопередавач -1600 грн, камера - 1000 грн, приймач - 600, двигуни для дронів - 2400 грн, польтний контролєр - 2300 грн, набори для паяння - 2100 грн, навчальні дрони - 11000 грн, батарея для дронів - 1500 грн, пульт керування - 11000 грн, акумулятори для пульта - 600 грн, шолом fpv - 8900 грн. на виконання Програми  "Про конкурс міні-проектів розвитку Новоукраїнської територіальної громади "Влада і громада – разом!" на 2021-2025 роки" КЕКВ 2210 (загальна вартість міні- проекту за рахунок коштів бюджету - 43500 грн.)</t>
  </si>
  <si>
    <r>
      <t>Перерозподіл бюджетних призначень в межах виділених річних асигнувань в сумі 85000 грн., перенесення фінансування  з КПКВ 1014060 КЕКВ 2275, збільшення фінансування  на</t>
    </r>
    <r>
      <rPr>
        <b/>
        <sz val="12"/>
        <rFont val="Times New Roman"/>
        <family val="1"/>
        <charset val="204"/>
      </rPr>
      <t xml:space="preserve"> придбання металевих конструкцій для встановлення їх на алеї Героїв Новоукраїнської міської територіальної громади  </t>
    </r>
    <r>
      <rPr>
        <sz val="12"/>
        <rFont val="Times New Roman"/>
        <family val="1"/>
        <charset val="204"/>
      </rPr>
      <t>КЕКВ 2210.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t>
    </r>
  </si>
  <si>
    <t>09.04.2025        №91/01-20</t>
  </si>
  <si>
    <t>09.04.2025        №90/01-20</t>
  </si>
  <si>
    <r>
      <t xml:space="preserve">Перерозподіл бюджетних призначень в межах виділених річних асигнувань  в сумі 317000 грн.  перенесення фінансування  на КПКВ 1014060 КЕКВ 2240, зменшення фінансування на придбання </t>
    </r>
    <r>
      <rPr>
        <b/>
        <sz val="12"/>
        <color theme="1"/>
        <rFont val="Times New Roman"/>
        <family val="1"/>
        <charset val="204"/>
      </rPr>
      <t xml:space="preserve"> інших енергоносіїв палацу культури "Ювілейний" КЕКВ 2275</t>
    </r>
    <r>
      <rPr>
        <sz val="12"/>
        <color theme="1"/>
        <rFont val="Times New Roman"/>
        <family val="1"/>
        <charset val="204"/>
      </rPr>
      <t>.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t>
    </r>
  </si>
  <si>
    <t>04.04.2025 №1504/01-21</t>
  </si>
  <si>
    <r>
      <t xml:space="preserve">Перерозподіл бюджетних призначень в межах виділених річних асигнувань  в сумі 333000 грн.  перенесення фінансування  з КПКВ 1016030 КЕКВ 2273, збільшення фінансування на проведення поточного ремонту (заміна вікон та дверей) приміщення фоє </t>
    </r>
    <r>
      <rPr>
        <b/>
        <sz val="12"/>
        <rFont val="Times New Roman"/>
        <family val="1"/>
        <charset val="204"/>
      </rPr>
      <t xml:space="preserve"> палацу культури "Ювілейний"</t>
    </r>
    <r>
      <rPr>
        <sz val="12"/>
        <rFont val="Times New Roman"/>
        <family val="1"/>
        <charset val="204"/>
      </rPr>
      <t xml:space="preserve"> КЕКВ 2240.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t>
    </r>
  </si>
  <si>
    <t>07.04.2025 №1617/715, 08.04.2025 №1519/01-21</t>
  </si>
  <si>
    <r>
      <t xml:space="preserve">Перерозподіл бюджетних призначень в межах виділених річних асигнувань в сумі 94599 грн., перенесення фінансування  на КПКВ 0216030 КЕКВ 2210 в сумі 9200 грн. та КЕКВ 3110 в сумі 85399 грн., а саме зменшення фінансування  </t>
    </r>
    <r>
      <rPr>
        <b/>
        <sz val="12"/>
        <color indexed="8"/>
        <rFont val="Times New Roman"/>
        <family val="1"/>
        <charset val="204"/>
      </rPr>
      <t xml:space="preserve">з міні - проектів та збільшення фінансування  на реалізацію міні - проектів, які стали переможцями у конкурсі </t>
    </r>
    <r>
      <rPr>
        <sz val="12"/>
        <color indexed="8"/>
        <rFont val="Times New Roman"/>
        <family val="1"/>
        <charset val="204"/>
      </rPr>
      <t xml:space="preserve"> КЕКВ 2210</t>
    </r>
  </si>
  <si>
    <r>
      <t xml:space="preserve">Перерозподіл бюджетних призначень в межах виділених річних асигнувань в сумі 18000 грн.,  а саме </t>
    </r>
    <r>
      <rPr>
        <b/>
        <sz val="12"/>
        <color theme="1"/>
        <rFont val="Times New Roman"/>
        <family val="1"/>
        <charset val="204"/>
      </rPr>
      <t>збільшення фінансування на оплату послуг(крім комунальних)   ЦДЮТ "Зоріт"</t>
    </r>
    <r>
      <rPr>
        <sz val="12"/>
        <color theme="1"/>
        <rFont val="Times New Roman"/>
        <family val="1"/>
        <charset val="204"/>
      </rPr>
      <t xml:space="preserve"> КЕКВ 2240 , зв'язку з виробничою необхідністю, за рахунок перенесення фінансування  з КПКВ 0611021  КЕКВ 2230.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t>
    </r>
  </si>
  <si>
    <r>
      <t xml:space="preserve">Перерозподіл бюджетних призначень в межах виділених річних асигнувань в сумі 3800 грн.,  а саме збільшення фінансування </t>
    </r>
    <r>
      <rPr>
        <b/>
        <sz val="12"/>
        <rFont val="Times New Roman"/>
        <family val="1"/>
        <charset val="204"/>
      </rPr>
      <t xml:space="preserve">на оплату послуг(крім комунальних)  по  інклюзивно-ресурсному центру </t>
    </r>
    <r>
      <rPr>
        <sz val="12"/>
        <rFont val="Times New Roman"/>
        <family val="1"/>
        <charset val="204"/>
      </rPr>
      <t xml:space="preserve">КЕКВ 2240 , зв'язку з виробничою необхідністю, за рахунок перенесення фінансування  з КПКВ 0611021  КЕКВ 2230.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t>
    </r>
  </si>
  <si>
    <r>
      <t xml:space="preserve">Перерозподіл бюджетних призначень в межах виділених річних асигнувань в сумі 41868 грн., перенесення фінансування  на КПКВ 0611070 КЕКВ 2210, а саме зменшення фінансування  </t>
    </r>
    <r>
      <rPr>
        <b/>
        <sz val="12"/>
        <color indexed="8"/>
        <rFont val="Times New Roman"/>
        <family val="1"/>
        <charset val="204"/>
      </rPr>
      <t xml:space="preserve">з міні - проектів та збільшення фінансування  на реалізацію міні - проектів, які стали переможцями у конкурсі </t>
    </r>
    <r>
      <rPr>
        <sz val="12"/>
        <color indexed="8"/>
        <rFont val="Times New Roman"/>
        <family val="1"/>
        <charset val="204"/>
      </rPr>
      <t xml:space="preserve"> КЕКВ 2240</t>
    </r>
  </si>
  <si>
    <r>
      <t>Перерозподіл бюджетних призначень в межах виділених річних асигнувань в сумі 9200 грн., перенесення фінансування з КПКВ 0216030 КЕКВ 2210,  збільшення фінансування на реалізацію міні-проекту "Здорова нація - запорука міцності держави!"  переможця конкурсу міні-проектів Новоукраїнської міської об'єднаної територіальної громади "Влада і громада - разом!" -</t>
    </r>
    <r>
      <rPr>
        <sz val="12"/>
        <rFont val="Times New Roman"/>
        <family val="1"/>
        <charset val="204"/>
      </rPr>
      <t xml:space="preserve"> Придбання спортивного обладнання, лавочок (ф</t>
    </r>
    <r>
      <rPr>
        <sz val="12"/>
        <color theme="1"/>
        <rFont val="Times New Roman"/>
        <family val="1"/>
        <charset val="204"/>
      </rPr>
      <t>утбольна сітка на ворота - 2400 грн, волейбольна сітка - 1000 грн, лавки 2 шт. - 5700 грн.) на виконання Програми  "Про конкурс міні-проектів розвитку Новоукраїнської територіальної громади "Влада і громада – разом!" на 2021-2025 роки" КЕКВ 2210 (загальна вартість міні- проекту за рахунок коштів бюджету - 94599грн.)</t>
    </r>
  </si>
  <si>
    <r>
      <t xml:space="preserve">Перерозподіл бюджетних призначень в межах виділених річних асигнувань в сумі 43500 грн., перенесення фінансування  на КПКВ 0611021 КЕКВ 2210, а саме зменшення фінансування  </t>
    </r>
    <r>
      <rPr>
        <b/>
        <sz val="12"/>
        <color indexed="8"/>
        <rFont val="Times New Roman"/>
        <family val="1"/>
        <charset val="204"/>
      </rPr>
      <t xml:space="preserve">з міні - проектів та збільшення фінансування  на реалізацію міні - проектів, які стали переможцями у конкурсі </t>
    </r>
    <r>
      <rPr>
        <sz val="12"/>
        <color indexed="8"/>
        <rFont val="Times New Roman"/>
        <family val="1"/>
        <charset val="204"/>
      </rPr>
      <t xml:space="preserve"> КЕКВ 2210</t>
    </r>
  </si>
  <si>
    <t>08.04.2025           № 75/01-29</t>
  </si>
  <si>
    <t xml:space="preserve">співфінансування проекту "Капітальний ремонт покрівлі хірургічного корпусу на території КНП "Новоукраїнська міська лікарня"Новоукраїнської міської ради, за адресою: Кіровоградська обл., Новоукраїнський район, м.Новоукраїнка, провулок Лікарняний, 1" </t>
  </si>
  <si>
    <r>
      <t xml:space="preserve"> Додаткові кошти  в сумі 1 659851  грн. </t>
    </r>
    <r>
      <rPr>
        <b/>
        <sz val="12"/>
        <rFont val="Times New Roman"/>
        <family val="1"/>
        <charset val="204"/>
      </rPr>
      <t xml:space="preserve"> на співфінансування проекту "Капітальний ремонт покрівлі хірургічного корпусу на території КНП "Новоукраїнська міська лікарня"Новоукраїнської міської ради, за адресою: Кіровоградська обл., Новоукраїнський район, м.Новоукраїнка, провулок Лікарняний, 1" загальною вартістю 7760597 грн. (з державного бюджету  5 975 659 грн), </t>
    </r>
    <r>
      <rPr>
        <sz val="12"/>
        <rFont val="Times New Roman"/>
        <family val="1"/>
        <charset val="204"/>
      </rPr>
      <t xml:space="preserve">що  буде виконуваться за рахунок субвенції з державного бюджету місцевим бюджетам на реалізацію проектів у рамках Програми з відновлення України ІІІ, </t>
    </r>
    <r>
      <rPr>
        <sz val="12"/>
        <color rgb="FFFF0000"/>
        <rFont val="Times New Roman"/>
        <family val="1"/>
        <charset val="204"/>
      </rPr>
      <t xml:space="preserve"> </t>
    </r>
    <r>
      <rPr>
        <sz val="12"/>
        <rFont val="Times New Roman"/>
        <family val="1"/>
        <charset val="204"/>
      </rPr>
      <t xml:space="preserve">через головного розпорядника коштів управління соціального захисту та охорони здоров'я  Новоукраїнської міської ради, за рахунок  </t>
    </r>
    <r>
      <rPr>
        <sz val="12"/>
        <color rgb="FF7030A0"/>
        <rFont val="Times New Roman"/>
        <family val="1"/>
        <charset val="204"/>
      </rPr>
      <t>вільного залишку коштів загального фонду</t>
    </r>
    <r>
      <rPr>
        <sz val="12"/>
        <rFont val="Times New Roman"/>
        <family val="1"/>
        <charset val="204"/>
      </rPr>
      <t xml:space="preserve"> бюджету Новоукраїнської  міської територіальної громади станом на 01.01.2025 року в сумі 1482332,69 грн. та за рахунок залишку коштів спеціального фонду (бюджет розвитку) в сумі 177518,31 грн.,  відповідно до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КЕКВ 3132 </t>
    </r>
  </si>
  <si>
    <t>08.04.2025     73/01-29</t>
  </si>
  <si>
    <r>
      <t xml:space="preserve">Перерозподіл бюджетних призначень в межах виділених річних асигнувань в сумі 94000 грн., перенесення фінансування  на КПКВ 0210180 КЕКВ 3110, а саме зменшення фінансування  </t>
    </r>
    <r>
      <rPr>
        <b/>
        <sz val="12"/>
        <color indexed="8"/>
        <rFont val="Times New Roman"/>
        <family val="1"/>
        <charset val="204"/>
      </rPr>
      <t xml:space="preserve">з міні - проектів та збільшення фінансування  на реалізацію міні - проектів, які стали переможцями у конкурсі </t>
    </r>
    <r>
      <rPr>
        <sz val="12"/>
        <color indexed="8"/>
        <rFont val="Times New Roman"/>
        <family val="1"/>
        <charset val="204"/>
      </rPr>
      <t xml:space="preserve"> КЕКВ 2240</t>
    </r>
  </si>
  <si>
    <t>Додаткові кошти  в сумі 245176 грн. на здійснення доплати за роботу в несприятливих умовах праці педагогічним працівникам комунальних закладів позашкільної роботи,  а саме  на виплату заробітної плати  в сумі 200964 грн. КЕКВ 2111 та нарахування на заробітну плату в сумі 44212 грн. КЕКВ 2120, згідно постанови КМУ від  08.11.2024 року №1268 по ДЮСШ  Новоукраїнської міської, за рахунок  вільного залишку коштів загального фонду бюджету Новоукраїнської  міської територіальної громади станом на 01.01.2025 року,   відповідно та пункту 228 розділу VI "Прикінцеві та перехідні положення" Бюджетного кодексу України, для здійснення виплати щомісячної доплати за роботу в несприятливих умовах праці</t>
  </si>
  <si>
    <r>
      <t xml:space="preserve"> Перерозподіл бюджетних призначень в межах виділених річних асигнувань  в сумі 170000 грн., зменшення фінансування</t>
    </r>
    <r>
      <rPr>
        <b/>
        <sz val="12"/>
        <rFont val="Times New Roman"/>
        <family val="1"/>
        <charset val="204"/>
      </rPr>
      <t xml:space="preserve"> на оплату електроенергії по вуличному освітленню </t>
    </r>
    <r>
      <rPr>
        <sz val="12"/>
        <rFont val="Times New Roman"/>
        <family val="1"/>
        <charset val="204"/>
      </rPr>
      <t xml:space="preserve">Новоукраїнської міської територіальної громади, у зв'язку з необхідністю КЕКВ 2273,  за рахунок перенесення фінансування  на КПКВ 0216013  КЕКВ 3210 </t>
    </r>
  </si>
  <si>
    <r>
      <t xml:space="preserve"> Перерозподіл бюджетних призначень в межах виділених річних асигнувань  в сумі 99000 грн., зменшення фінансування</t>
    </r>
    <r>
      <rPr>
        <b/>
        <sz val="12"/>
        <rFont val="Times New Roman"/>
        <family val="1"/>
        <charset val="204"/>
      </rPr>
      <t xml:space="preserve"> на оплату електроенергії по вуличному освітленню </t>
    </r>
    <r>
      <rPr>
        <sz val="12"/>
        <rFont val="Times New Roman"/>
        <family val="1"/>
        <charset val="204"/>
      </rPr>
      <t xml:space="preserve">Новоукраїнської міської територіальної громади, у зв'язку з необхідністю КЕКВ 2273,  за рахунок перенесення фінансування  на КПКВ 0210150  КЕКВ 2240 </t>
    </r>
  </si>
  <si>
    <t>Додаткові кошти  в сумі 2160000 грн. на здійснення доплат педагогічним працівникам закладів  дошкільної  освіти,  а саме  на виплату заробітної плати  в сумі 1770492 грн. КЕКВ 2111 та нарахування на заробітну плату в сумі 389508 грн. КЕКВ 2120, згідно постанови КМУ від  08.11.2024 року №1268 по дошкільних  навчальних закладах, за рахунок  вільного залишку коштів загального фонду бюджету Новоукраїнської  міської територіальної громади станом на 01.01.2025 року, що утворився за рахунок додаткової дотації з державного бюджету місцевим бюджетам на здійснення повноважень органів місцевого самоврядування на деокупованих, тимчасово окупованих та інших територіях України, що зазнали негативного впливу у зв'язку з повномасштабною збройною агресією Російської Федерації, відповідно розпорядження Кабінету Міністрів України від 20 грудня 2024 р. N 1444-р  в сумі 1409031,57 грн. та  за рахунок  вільного залишку коштів загального фонду бюджету Новоукраїнської  міської територіальної громади станом на 01.01.2025 року,   відповідно та пункту 228 розділу VI "Прикінцеві та перехідні положення" Бюджетного кодексу України в сумі 750968,43 грн., для здійснення виплати щомісячної доплати за роботу в несприятливих умовах праці</t>
  </si>
  <si>
    <r>
      <t xml:space="preserve">Перерозподіл бюджетних призначень в межах виділених річних асигнувань  в сумі 85000 грн.  перенесення фінансування  на КПКВ 1014082 КЕКВ 2210, зменшення фінансування на придбання </t>
    </r>
    <r>
      <rPr>
        <b/>
        <sz val="12"/>
        <color theme="1"/>
        <rFont val="Times New Roman"/>
        <family val="1"/>
        <charset val="204"/>
      </rPr>
      <t xml:space="preserve"> інших енергоносіїв палацу культури "Ювілейний" КЕКВ 2275</t>
    </r>
    <r>
      <rPr>
        <sz val="12"/>
        <color theme="1"/>
        <rFont val="Times New Roman"/>
        <family val="1"/>
        <charset val="204"/>
      </rPr>
      <t>.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t>
    </r>
  </si>
  <si>
    <r>
      <t>Перерозподіл бюджетних призначень в межах виділених річних асигнувань в сумі 94000 грн., перенесення фінансування з КПКВ 0210180 КЕКВ 2240,  збільшення фінансування на реалізацію міні-проекту "Новоукраїнська витинанка" переможця конкурсу міні-проектів Новоукраїнської міської об'єднаної територіальної громади "Влада і громада - разом!" -  на п</t>
    </r>
    <r>
      <rPr>
        <b/>
        <sz val="12"/>
        <rFont val="Times New Roman"/>
        <family val="1"/>
        <charset val="204"/>
      </rPr>
      <t xml:space="preserve">ридбання пресу для витинання тканини, що є основою для маскувальної сітки   </t>
    </r>
    <r>
      <rPr>
        <sz val="12"/>
        <rFont val="Times New Roman"/>
        <family val="1"/>
        <charset val="204"/>
      </rPr>
      <t>на виконання Програми  "Про конкурс міні-проектів розвитку Новоукраїнської територіальної громади "Влада і громада – разом!" на 2021-2025 роки" КЕКВ 3110 (загальна вартість міні- проекту за рахунок коштів бюджету - 94000 грн.)</t>
    </r>
  </si>
  <si>
    <t>24.04.2025        №102-3/34</t>
  </si>
  <si>
    <t xml:space="preserve">13.04.2025        №1753/01-03 </t>
  </si>
  <si>
    <r>
      <t xml:space="preserve"> Перерозподіл бюджетних призначень в межах виділених річних асигнувань в сумі 198545 грн., збільшення фінансування </t>
    </r>
    <r>
      <rPr>
        <b/>
        <sz val="12"/>
        <rFont val="Times New Roman"/>
        <family val="1"/>
        <charset val="204"/>
      </rPr>
      <t xml:space="preserve"> </t>
    </r>
    <r>
      <rPr>
        <sz val="12"/>
        <rFont val="Times New Roman"/>
        <family val="1"/>
        <charset val="204"/>
      </rPr>
      <t>на оплату комунальних послуг та енергоносіїв</t>
    </r>
    <r>
      <rPr>
        <b/>
        <sz val="12"/>
        <rFont val="Times New Roman"/>
        <family val="1"/>
        <charset val="204"/>
      </rPr>
      <t xml:space="preserve"> для КНП "Новоукраїнська  міська лікарня" </t>
    </r>
    <r>
      <rPr>
        <sz val="12"/>
        <rFont val="Times New Roman"/>
        <family val="1"/>
        <charset val="204"/>
      </rPr>
      <t>Новоукраїнської  міської ради, як одержувачу коштів управління соціального захисту та охорони здоров'я  Новоукраїнської міської ради КЕКВ 2610, за рахунок перенесення фінансування  з КПКВ 0812010 КЕКВ 2610, за рахунок додаткової дотації відповідно до розпорядження  начальника Кіровоградської обласної військової адміністрації від  22.04.2025 року  № 759-р "Про внесення змін до розпорядження начальника Кіровоградської обласної військової адміністрації від 20 грудня 2024 року № 1264-р "Про обласний бюджет Кіровоградської області на 2025 рік "</t>
    </r>
  </si>
  <si>
    <t xml:space="preserve">у тому числі за рахунок  дотацій </t>
  </si>
  <si>
    <r>
      <t>Додаткові кошти в сумі 20000 грн.</t>
    </r>
    <r>
      <rPr>
        <b/>
        <sz val="12"/>
        <rFont val="Times New Roman"/>
        <family val="1"/>
        <charset val="204"/>
      </rPr>
      <t xml:space="preserve">  на медикаменти та перев'язувальні матеріали,</t>
    </r>
    <r>
      <rPr>
        <sz val="12"/>
        <rFont val="Times New Roman"/>
        <family val="1"/>
        <charset val="204"/>
      </rPr>
      <t xml:space="preserve"> співфінансування за рахунок субвенції з бюджету </t>
    </r>
    <r>
      <rPr>
        <b/>
        <sz val="12"/>
        <rFont val="Times New Roman"/>
        <family val="1"/>
        <charset val="204"/>
      </rPr>
      <t xml:space="preserve">   Глодоської сільської територіальної громади </t>
    </r>
    <r>
      <rPr>
        <sz val="12"/>
        <rFont val="Times New Roman"/>
        <family val="1"/>
        <charset val="204"/>
      </rPr>
      <t>для  КНП "Центр первинної медико-санітарної допомоги",  як одержувачу коштів управління соціального захисту та охорони здоров'я  Новоукраїнської міської ради КЕКВ 2610, відповідно до (рішення  Глодоської сільської ради від 15.04.2025 року №1471)</t>
    </r>
  </si>
  <si>
    <t>28.04.2025     86/01-29</t>
  </si>
  <si>
    <t>29.04.2025 №1848/01-21</t>
  </si>
  <si>
    <t xml:space="preserve">Перерозподіл бюджетних призначень в межах виділених річних асигнувань в сумі 2400 грн., перенесення фінансування з КПКВ 0210180 КЕКВ 3110,  збільшення фінансування на виготовлення табличок для  міні-проектів, які визнано переможцями у конкурс міні-проектів Новоукраїнської міської об'єднаної територіальної громади "Влада і громада - разом!" у 2025 році на виконання Програми  "Про конкурс міні-проектів розвитку Новоукраїнської територіальної громади "Влада і громада – разом!" на 2021-2025 роки" КЕКВ 2210 </t>
  </si>
  <si>
    <t>29.04.2025     87/01-29</t>
  </si>
  <si>
    <r>
      <t>Перерозподіл бюджетних призначень в межах виділених річних асигнувань в сумі 2400 грн., перенесення фінансування на КПКВ 0210180 КЕКВ 2210,  зменшення фінансування на реалізацію міні-проекту "Запашна підтримка"  переможця конкурсу міні-проектів Новоукраїнської міської об'єднаної територіальної громади "Влада і громада - разом!" -  на п</t>
    </r>
    <r>
      <rPr>
        <b/>
        <sz val="12"/>
        <rFont val="Times New Roman"/>
        <family val="1"/>
        <charset val="204"/>
      </rPr>
      <t>ридбання печі пароконвекційної  на виконання Програми  "Про конкурс міні-проектів розвитку Новоукраїнської територіальної громади "Влада і громада – разом!"</t>
    </r>
    <r>
      <rPr>
        <sz val="12"/>
        <rFont val="Times New Roman"/>
        <family val="1"/>
        <charset val="204"/>
      </rPr>
      <t xml:space="preserve"> на 2021-2025 роки" (загальна вартість міні- проекту за рахунок коштів бюджету - 44000 грн.), у зв'язку з економією коштів КЕКВ 3110</t>
    </r>
  </si>
  <si>
    <t>01.05.2025     №88/01-29</t>
  </si>
  <si>
    <r>
      <t xml:space="preserve">Додаткові  кошти  в сумі 98000 грн.  </t>
    </r>
    <r>
      <rPr>
        <b/>
        <sz val="12"/>
        <rFont val="Times New Roman"/>
        <family val="1"/>
        <charset val="204"/>
      </rPr>
      <t>на оплату послуг з демонтажу аварійного приміщення гуртожитку, що не використовується та знаходиться на території бувшого цукрового заводу</t>
    </r>
    <r>
      <rPr>
        <sz val="12"/>
        <rFont val="Times New Roman"/>
        <family val="1"/>
        <charset val="204"/>
      </rPr>
      <t>, за рахунок перевиконання дохідної частини загального фонду бюджету Новоукраїнської міської територіальної громади станом на 01.05.2025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КЕКВ 2240</t>
    </r>
  </si>
  <si>
    <r>
      <t>Додаткові кошти  в сумі 99000 грн.</t>
    </r>
    <r>
      <rPr>
        <b/>
        <sz val="12"/>
        <rFont val="Times New Roman"/>
        <family val="1"/>
        <charset val="204"/>
      </rPr>
      <t xml:space="preserve"> </t>
    </r>
    <r>
      <rPr>
        <sz val="12"/>
        <rFont val="Times New Roman"/>
        <family val="1"/>
        <charset val="204"/>
      </rPr>
      <t>на оплату послуг, крім комунальних</t>
    </r>
    <r>
      <rPr>
        <b/>
        <sz val="12"/>
        <rFont val="Times New Roman"/>
        <family val="1"/>
        <charset val="204"/>
      </rPr>
      <t xml:space="preserve"> (вантажні перевезення</t>
    </r>
    <r>
      <rPr>
        <sz val="12"/>
        <rFont val="Times New Roman"/>
        <family val="1"/>
        <charset val="204"/>
      </rPr>
      <t>, за рахунок перевиконання дохідної частини загального фонду бюджету Новоукраїнської міської територіальної громади станом на 01.05.2025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КЕКВ 2240</t>
    </r>
  </si>
  <si>
    <r>
      <t xml:space="preserve">Додаткові кошти  в сумі 60000 грн. на оплату послуг (крім комунальних) </t>
    </r>
    <r>
      <rPr>
        <b/>
        <sz val="12"/>
        <color theme="1"/>
        <rFont val="Times New Roman"/>
        <family val="1"/>
        <charset val="204"/>
      </rPr>
      <t xml:space="preserve">на поточний ремонт службового автомобіля (Рено)  </t>
    </r>
    <r>
      <rPr>
        <sz val="12"/>
        <color theme="1"/>
        <rFont val="Times New Roman"/>
        <family val="1"/>
        <charset val="204"/>
      </rPr>
      <t>виконавчомого комітету Новоукраїнської міської ради в сумі 30000 грн. КЕКВ 2240, на предмети, матеріали, обладанння та інвентар (</t>
    </r>
    <r>
      <rPr>
        <b/>
        <sz val="12"/>
        <color theme="1"/>
        <rFont val="Times New Roman"/>
        <family val="1"/>
        <charset val="204"/>
      </rPr>
      <t>запчастини до службових автомобілів Рено та нива</t>
    </r>
    <r>
      <rPr>
        <sz val="12"/>
        <color theme="1"/>
        <rFont val="Times New Roman"/>
        <family val="1"/>
        <charset val="204"/>
      </rPr>
      <t>) в сумі 30000 грн. КЕКВ 2210, за рахунок перевиконання дохідної частини загального фонду бюджету Новоукраїнської міської територіальної громади станом на 01.05.2025 року, відповідно до офіційного висновку та пункту 22</t>
    </r>
    <r>
      <rPr>
        <vertAlign val="superscript"/>
        <sz val="12"/>
        <color theme="1"/>
        <rFont val="Times New Roman"/>
        <family val="1"/>
        <charset val="204"/>
      </rPr>
      <t>2</t>
    </r>
    <r>
      <rPr>
        <sz val="12"/>
        <color theme="1"/>
        <rFont val="Times New Roman"/>
        <family val="1"/>
        <charset val="204"/>
      </rPr>
      <t xml:space="preserve"> розділу VI "Прикінцеві та перехідні положення" Бюджетного кодексу України  </t>
    </r>
  </si>
  <si>
    <r>
      <t>Додаткові кошти  в сумі 60000 грн. на оплату послуг (крім комунальних)  (</t>
    </r>
    <r>
      <rPr>
        <b/>
        <sz val="12"/>
        <rFont val="Times New Roman"/>
        <family val="1"/>
        <charset val="204"/>
      </rPr>
      <t>послуги з виготовлення та встановлення зупинок громадського транспорту)</t>
    </r>
    <r>
      <rPr>
        <sz val="12"/>
        <rFont val="Times New Roman"/>
        <family val="1"/>
        <charset val="204"/>
      </rPr>
      <t>, у зв'язку з необхідністю КЕКВ 2210, за рахунок перевиконання дохідної частини загального фонду бюджету Новоукраїнської міської територіальної громади станом на 01.0.2025року,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t>
    </r>
  </si>
  <si>
    <t xml:space="preserve">Перерозподіл бюджетних призначень в межах виділених річних асигнувань в сумі 88485,01 грн., перенесення фінансування  на  КПКВ 0813121  КЕКВ 2210, зменшення фінансування на предмети матеріали обладнання та інвентар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2210 </t>
  </si>
  <si>
    <t>Перерозподіл бюджетних призначень в межах виділених річних асигнувань в сумі 4713285,51 грн., перенесення фінансування  на  КПКВ 0813121  КЕКВ 2111 в сумі 3864103,13 грн. та КЕКВ 2120 в сумі 849182,38 грн., зменшення фінансування на виплату заробітної плати працівникам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в сумі    3864103,13 грн., КЕКВ 2111 та  нарахування на заробітну плату в сумі 849182,38 грн. КЕКВ 2120</t>
  </si>
  <si>
    <t xml:space="preserve">Перерозподіл бюджетних призначень в межах виділених річних асигнувань в сумі 80124,27 грн., перенесення фінансування  на КПКВ 0813121  КЕКВ 2240, зменшення фінансування  на оплату послуг (крім комунальних),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2240 </t>
  </si>
  <si>
    <t xml:space="preserve">Перерозподіл бюджетних призначень в межах виділених річних асигнувань в сумі 1000 грн., перенесення фінансування  на КПКВ 0813121  КЕКВ 2220, зменшення фінансування  на медикаменти та перев'язувальні матеріали,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2220 </t>
  </si>
  <si>
    <t xml:space="preserve">Перерозподіл бюджетних призначень в межах виділених річних асигнувань в сумі 2400 грн., перенесення фінансування  на  КПКВ 0813121  КЕКВ 2250, зменшення фінансування для оплати за відрядження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2250 </t>
  </si>
  <si>
    <t xml:space="preserve">Перерозподіл бюджетних призначень в межах виділених річних асигнувань в сумі 4415,72 грн., перенесення фінансування  на  КПКВ 0813121  КЕКВ 2272, зменшення фінансування для оплати водопостачання та водовідведення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2272 </t>
  </si>
  <si>
    <t xml:space="preserve">Перерозподіл бюджетних призначень в межах виділених річних асигнувань в сумі 19863,54 грн., перенесення фінансування  на  КПКВ 0813121  КЕКВ 2273, зменшення фінансування для оплати електроенергії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2273 </t>
  </si>
  <si>
    <t xml:space="preserve">Перерозподіл бюджетних призначень в межах виділених річних асигнувань в сумі 1,00 грн., перенесення фінансування  на  КПКВ 0813121  КЕКВ 2275, зменшення фінансування для оплати інших енергоносіїв та інших комунальних послуг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2275 </t>
  </si>
  <si>
    <t xml:space="preserve">Перерозподіл бюджетних призначень в межах виділених річних асигнувань в сумі 2000 грн., перенесення фінансування  на  КПКВ 0813121  КЕКВ 2282, зменшення фінансування для оплати окремих заходів по реалізації державних (регіональних) програм, не віднесені до заходів розвитку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2282 </t>
  </si>
  <si>
    <t xml:space="preserve">Перерозподіл бюджетних призначень в межах виділених річних асигнувань в сумі 90,00 грн., перенесення фінансування  на  КПКВ 0813121  КЕКВ 2800, зменшення фінансування для оплати інших поточних видатків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2800 </t>
  </si>
  <si>
    <t xml:space="preserve">Перерозподіл бюджетних призначень в межах виділених річних асигнувань в сумі 1000 грн., перенесення фінансування  з КПКВ 0813104  КЕКВ 2220, збільшення фінансування  на медикаменти та перев'язувальні матеріали,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2220 </t>
  </si>
  <si>
    <t xml:space="preserve">Перерозподіл бюджетних призначень в межах виділених річних асигнувань в сумі 88485,01 грн., перенесення фінансування з  КПКВ 0813104  КЕКВ 2210, збільшення фінансування на предмети матеріали обладнання та інвентар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2210 </t>
  </si>
  <si>
    <t>Перерозподіл бюджетних призначень в межах виділених річних асигнувань в сумі 4713285,51 грн., перенесення фінансування  з  КПКВ 0813104  КЕКВ 2111 в сумі 3864103,13 грн. та КЕКВ 2120 в сумі 849182,38 грн., збільшення фінансування на виплату заробітної плати працівникам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в сумі    3864103,13 грн., КЕКВ 2111 та  нарахування на заробітну плату в сумі 849182,38 грн. КЕКВ 2120</t>
  </si>
  <si>
    <t xml:space="preserve">Перерозподіл бюджетних призначень в межах виділених річних асигнувань в сумі 80124,27 грн., перенесення фінансування  з КПКВ 0813104  КЕКВ 2240, збільшення фінансування  на оплату послуг (крім комунальних),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2240 </t>
  </si>
  <si>
    <t xml:space="preserve">Перерозподіл бюджетних призначень в межах виділених річних асигнувань в сумі 2400 грн., перенесення фінансування  з  КПКВ 0813104  КЕКВ 2250, збільшення фінансування для оплати за відрядження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2250 </t>
  </si>
  <si>
    <t xml:space="preserve">Перерозподіл бюджетних призначень в межах виділених річних асигнувань в сумі 4415,72 грн., перенесення фінансування  з  КПКВ 0813104  КЕКВ 2272, збільшення фінансування для оплати водопостачання та водовідведення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2272 </t>
  </si>
  <si>
    <t xml:space="preserve">Перерозподіл бюджетних призначень в межах виділених річних асигнувань в сумі 19863,54 грн., перенесення фінансування  з  КПКВ 0813104  КЕКВ 2273, збільшення фінансування для оплати електроенергії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2273 </t>
  </si>
  <si>
    <t xml:space="preserve">Перерозподіл бюджетних призначень в межах виділених річних асигнувань в сумі 1,00 грн., перенесення фінансування  з  КПКВ 0813104  КЕКВ 2275, збільшення фінансування для оплати інших енергоносіїв та інших комунальних послуг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2275 </t>
  </si>
  <si>
    <t xml:space="preserve">Перерозподіл бюджетних призначень в межах виділених річних асигнувань в сумі 2000 грн., перенесення фінансування  з  КПКВ 0813104  КЕКВ 2282, збільшення фінансування для оплати окремих заходів по реалізації державних (регіональних) програм, не віднесені до заходів розвитку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2282 </t>
  </si>
  <si>
    <t xml:space="preserve">Перерозподіл бюджетних призначень в межах виділених річних асигнувань в сумі 90,00 грн., перенесення фінансування  з  КПКВ 0813104  КЕКВ 2800, збільшення фінансування для оплати інших поточних видатків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2800 </t>
  </si>
  <si>
    <t>Перерозподіл бюджетних призначень в межах виділених річних асигнувань в сумі 344989,60 грн., перенесення фінансування  на  КПКВ 0813241  КЕКВ 2111 в сумі 275140,43 грн. та КЕКВ 2120 в сумі 69849,17 грн., зменшення фінансування на виплату заробітної плати працівникам по КУ "Новоукраїнський міський центр соціальних служб", у зв'язку із  зміною назви та внесенням змін до положення КУ "Новоукраїнський міський центр соціальних служб"  в сумі    275140,43 грн., КЕКВ 2111 та  нарахування на заробітну плату в сумі 69849,17 грн. КЕКВ 2120</t>
  </si>
  <si>
    <t xml:space="preserve">Перерозподіл бюджетних призначень в межах виділених річних асигнувань в сумі 15813,17 грн., перенесення фінансування  на  КПКВ 0813241  КЕКВ 2210, зменшення фінансування на предмети матеріали обладнання та інвентар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КЕКВ 2210 </t>
  </si>
  <si>
    <t xml:space="preserve">Перерозподіл бюджетних призначень в межах виділених річних асигнувань в сумі 4511,96 грн., перенесення фінансування  на КПКВ 0813241  КЕКВ 2240, зменшення фінансування  на оплату послуг (крім комунальних) по КУ "Новоукраїнський міський центр соціальних служб", у зв'язку із  зміною назви та внесенням змін до положення КУ "Новоукраїнський міський центр соціальних служб" КЕКВ 2240 </t>
  </si>
  <si>
    <t xml:space="preserve">Перерозподіл бюджетних призначень в межах виділених річних асигнувань в сумі 4035 грн., перенесення фінансування  на  КПКВ 0813241  КЕКВ 2250, зменшення фінансування для оплати за відрядження по КУ "Новоукраїнський міський центр соціальних служб", у зв'язку із  зміною назви та внесенням змін до положення КУ "Новоукраїнський міський центр соціальних служб"  КЕКВ 2250 </t>
  </si>
  <si>
    <t xml:space="preserve">Перерозподіл бюджетних призначень в межах виділених річних асигнувань в сумі 267,72 грн., перенесення фінансування  на  КПКВ 0813241  КЕКВ 2272, зменшення фінансування для оплати водопостачання та водовідведення по КУ "Новоукраїнський міський центр соціальних служб", у зв'язку із  зміною назви та внесенням змін до положення КУ "Новоукраїнський міський центр соціальних служб"  КЕКВ 2272 </t>
  </si>
  <si>
    <t xml:space="preserve">Перерозподіл бюджетних призначень в межах виділених річних асигнувань в сумі 2371,50 грн., перенесення фінансування  на  КПКВ 0813241  КЕКВ 2273, зменшення фінансування для оплати електроенергії по КУ "Новоукраїнський міський центр соціальних служб", у зв'язку із  зміною назви та внесенням змін до положення КУ "Новоукраїнський міський центр соціальних служб"  КЕКВ 2273 </t>
  </si>
  <si>
    <t xml:space="preserve">Перерозподіл бюджетних призначень в межах виділених річних асигнувань в сумі 2655,22 грн., перенесення фінансування  на  КПКВ 0813241  КЕКВ 2275, зменшення фінансування для оплати інших енергоносіїв та інших комунальних послуг по КУ "Новоукраїнський міський центр соціальних служб", у зв'язку із  зміною назви та внесенням змін до положення КУ "Новоукраїнський міський центр соціальних служб"  КЕКВ 2275 </t>
  </si>
  <si>
    <t xml:space="preserve">Перерозподіл бюджетних призначень в межах виділених річних асигнувань в сумі 910,00 грн., перенесення фінансування  на  КПКВ 0813241  КЕКВ 2800, зменшення фінансування для оплати інших поточних видатків по КУ "Новоукраїнський міський центр соціальних служб", у зв'язку із  зміною назви та внесенням змін до положення КУ "Новоукраїнський міський центр соціальних служб"  КЕКВ 2800 </t>
  </si>
  <si>
    <t xml:space="preserve">Перерозподіл бюджетних призначень в межах виділених річних асигнувань в сумі 267,72 грн., перенесення фінансування  з  КПКВ 0813121  КЕКВ 2272, зменшення фінансування для оплати водопостачання та водовідведення по КУ "Новоукраїнський міський центр соціальних служб", у зв'язку із  зміною назви та внесенням змін до положення КУ "Новоукраїнський міський центр соціальних служб"  КЕКВ 2272 </t>
  </si>
  <si>
    <t xml:space="preserve">Перерозподіл бюджетних призначень в межах виділених річних асигнувань в сумі 2371,50 грн., перенесення фінансування  з  КПКВ 0813121  КЕКВ 2273, збільшення фінансування для оплати електроенергії по КУ "Новоукраїнський міський центр соціальних служб", у зв'язку із  зміною назви та внесенням змін до положення КУ "Новоукраїнський міський центр соціальних служб"  КЕКВ 2273 </t>
  </si>
  <si>
    <r>
      <t>Додаткові кошти  в сумі 99000 грн.</t>
    </r>
    <r>
      <rPr>
        <b/>
        <sz val="12"/>
        <rFont val="Times New Roman"/>
        <family val="1"/>
        <charset val="204"/>
      </rPr>
      <t xml:space="preserve"> </t>
    </r>
    <r>
      <rPr>
        <sz val="12"/>
        <rFont val="Times New Roman"/>
        <family val="1"/>
        <charset val="204"/>
      </rPr>
      <t>на оплату послуг, крім комунальних</t>
    </r>
    <r>
      <rPr>
        <b/>
        <sz val="12"/>
        <rFont val="Times New Roman"/>
        <family val="1"/>
        <charset val="204"/>
      </rPr>
      <t xml:space="preserve"> (вантажні перевезення)</t>
    </r>
    <r>
      <rPr>
        <sz val="12"/>
        <rFont val="Times New Roman"/>
        <family val="1"/>
        <charset val="204"/>
      </rPr>
      <t>, за рахунок перевиконання дохідної частини загального фонду бюджету Новоукраїнської міської територіальної громади станом на 01.05.2025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КЕКВ 2240</t>
    </r>
  </si>
  <si>
    <t>01.05.2025 №1892/01-21</t>
  </si>
  <si>
    <r>
      <t xml:space="preserve">Перерозподіл бюджетних призначень в межах виділених річних асигнувань в сумі 10173,8 грн.,  а саме зменшення фінансування  </t>
    </r>
    <r>
      <rPr>
        <b/>
        <sz val="12"/>
        <rFont val="Times New Roman"/>
        <family val="1"/>
        <charset val="204"/>
      </rPr>
      <t xml:space="preserve"> на закупівлю засобів навчання та комп'ютерного обладнання для   оснащення осередків  викладання предмета "Захист України"  (Новоукраїнський ліцей "Лідер"  Новоукраїнської  міської ради),  за рахунок залишку коштів спеціального фонду освітньої субвенції з державного бюджету місцевим бюджетам, відповідно до розпорядження начальника Кіровоградської обласної військової адміністрації від 21.08.2024 року № 793-р (видатки розвитку)  КЕКВ 2210, в сумі 889243 грн., які є перехідними станом на 01.01.2025 року</t>
    </r>
    <r>
      <rPr>
        <sz val="12"/>
        <rFont val="Times New Roman"/>
        <family val="1"/>
        <charset val="204"/>
      </rPr>
      <t>,  за рахунок перенесення фінансування  на КПКВ 0611292 КЕК 3110 (капітальні видатки).</t>
    </r>
  </si>
  <si>
    <r>
      <t xml:space="preserve">Перерозподіл бюджетних призначень в межах виділених річних асигнувань в сумі 10173,8 грн.,  а саме збільшення фінансування  </t>
    </r>
    <r>
      <rPr>
        <b/>
        <sz val="12"/>
        <rFont val="Times New Roman"/>
        <family val="1"/>
        <charset val="204"/>
      </rPr>
      <t xml:space="preserve"> на закупівлю засобів навчання та комп'ютерного обладнання для   оснащення осередків  викладання предмета "Захист України"  (Новоукраїнський ліцей "Лідер"  Новоукраїнської  міської ради),  за рахунок залишку коштів спеціального фонду освітньої субвенції з державного бюджету місцевим бюджетам, відповідно до розпорядження начальника Кіровоградської обласної військової адміністрації від 21.08.2024 року № 793-р, які є перехідними станом на 01.01.2025 року</t>
    </r>
    <r>
      <rPr>
        <sz val="12"/>
        <rFont val="Times New Roman"/>
        <family val="1"/>
        <charset val="204"/>
      </rPr>
      <t xml:space="preserve">  КЕКВ 3110 (бюджет розвитку),  за рахунок перенесення фінансування  з КПКВ 0611292 КЕК 2210 (поточні видатки).</t>
    </r>
  </si>
  <si>
    <r>
      <t xml:space="preserve">Перерозподіл бюджетних призначень в межах виділених річних асигнувань в сумі 1130,20 грн.,  а саме зменшення фінансування  </t>
    </r>
    <r>
      <rPr>
        <b/>
        <sz val="12"/>
        <rFont val="Times New Roman"/>
        <family val="1"/>
        <charset val="204"/>
      </rPr>
      <t xml:space="preserve"> на співфінансування на закупівлю засобів навчання та комп'ютерного обладнання для   оснащення осередків  викладання предмета "Захист України"  (Новоукраїнський ліцей "Лідер"  Новоукраїнської  міської ради),  яке буде придбаватись за рахунок залишку коштів освітньої субвенції з державного бюджету місцевим бюджетам, відповідно до розпорядження начальника Кіровоградської обласної військової адміністрації від  21.08.2024 року № 793-р., за рахунок  вільного залишку коштів загального фонду бюджету Новоукраїнської  міської територіальної громади станом на 01.01.2025 року, відповідно до пункту 228 розділу VI "Прикінцеві та перехідні положення" Бюджетного кодексу України, які є перехідними станом на 01.01.2025 року</t>
    </r>
    <r>
      <rPr>
        <sz val="12"/>
        <rFont val="Times New Roman"/>
        <family val="1"/>
        <charset val="204"/>
      </rPr>
      <t xml:space="preserve">  КЕКВ 2210 (поточні видатки),  за рахунок перенесення фінансування  на КПКВ 0611292 КЕК 3110 (бюджет розвитку).</t>
    </r>
  </si>
  <si>
    <t>Перерозподіл бюджетних призначень в межах виділених річних асигнувань в сумі 446500 грн., перенесення фінансування  з  КПКВ 0813121  КЕКВ 2111 в сумі 366000 грн. та КЕКВ 2120 в сумі 80500 грн., збільшення фінансування на виплату заробітної плати працівникам по КУ "Центр соціальних послуг Новоукраїнської міської ради Кіровоградської області", у зв'язку із  внесенням змін до положення КУ "Центр соціальних послуг Новоукраїнської міської ради Кіровоградської області" та зміною назви та внесенням змін до положення КУ "Новоукраїнський міський центр соціальних служб"  в сумі    366000 грн., КЕКВ 2111 та  нарахування на заробітну плату в сумі 80500 грн. КЕКВ 2120</t>
  </si>
  <si>
    <r>
      <t xml:space="preserve">Перерозподіл бюджетних призначень в межах виділених річних асигнувань в сумі 1130,20 грн.,  а саме збільшення фінансування  </t>
    </r>
    <r>
      <rPr>
        <b/>
        <sz val="12"/>
        <rFont val="Times New Roman"/>
        <family val="1"/>
        <charset val="204"/>
      </rPr>
      <t xml:space="preserve"> на співфінансування на закупівлю засобів навчання та комп'ютерного обладнання для   оснащення осередків  викладання предмета "Захист України"  (Новоукраїнський ліцей "Лідер"  Новоукраїнської  міської ради),  яке буде придбаватись за рахунок залишку коштів освітньої субвенції з державного бюджету місцевим бюджетам, відповідно до розпорядження начальника Кіровоградської обласної військової адміністрації від  21.08.2024 року № 793-р., за рахунок  вільного залишку коштів загального фонду бюджету Новоукраїнської  міської територіальної громади станом на 01.01.2025 року, відповідно до пункту 228 розділу VI "Прикінцеві та перехідні положення" Бюджетного кодексу України, які є перехідними станом на 01.01.2025 року</t>
    </r>
    <r>
      <rPr>
        <sz val="12"/>
        <rFont val="Times New Roman"/>
        <family val="1"/>
        <charset val="204"/>
      </rPr>
      <t xml:space="preserve">  КЕКВ 3110 (бюджет розвитку),  за рахунок перенесення фінансування  з КПКВ 0611292 КЕК 2210 (поточні видатки).</t>
    </r>
  </si>
  <si>
    <r>
      <t xml:space="preserve">Додаткові кошти в сумі 132000 грн., відповідно до клопотання начальника відділу з питань житлово-комунального господарства та </t>
    </r>
    <r>
      <rPr>
        <b/>
        <sz val="12"/>
        <color theme="1"/>
        <rFont val="Times New Roman"/>
        <family val="1"/>
        <charset val="204"/>
      </rPr>
      <t>Новоукраїнського ЖКП, на придбання шин до грейдера</t>
    </r>
    <r>
      <rPr>
        <sz val="12"/>
        <color theme="1"/>
        <rFont val="Times New Roman"/>
        <family val="1"/>
        <charset val="204"/>
      </rPr>
      <t>, як фінансову підтримку одержувачу коштів виконавчого комітету Новоукраїнської міської ради, за рахунок перевиконання дохідної частини загального фонду бюджету Новоукраїнської міської територіальної громади станом на 01.05.2025 року, відповідно до офіційного висновку та пункту 22</t>
    </r>
    <r>
      <rPr>
        <vertAlign val="superscript"/>
        <sz val="12"/>
        <color theme="1"/>
        <rFont val="Times New Roman"/>
        <family val="1"/>
        <charset val="204"/>
      </rPr>
      <t>2</t>
    </r>
    <r>
      <rPr>
        <sz val="12"/>
        <color theme="1"/>
        <rFont val="Times New Roman"/>
        <family val="1"/>
        <charset val="204"/>
      </rPr>
      <t xml:space="preserve"> розділу VI "Прикінцеві та перехідні положення" Бюджетного кодексу України КЕКВ 2610</t>
    </r>
  </si>
  <si>
    <t>0611300</t>
  </si>
  <si>
    <r>
      <t xml:space="preserve">Перерозподіл бюджетних призначень в межах виділених річних асигнувань в сумі 50000 грн., перенесення фінансування  з КПКВ 0611026 КЕКВ 2800, а саме збільшення фінансування  на виготовлення експертизи  проектно-кошторисної документації </t>
    </r>
    <r>
      <rPr>
        <b/>
        <sz val="12"/>
        <rFont val="Times New Roman"/>
        <family val="1"/>
        <charset val="204"/>
      </rPr>
      <t>по проекту   "Нове будівництво двоповерхової будівлів складі харчоблоку та   захисної споруди цивільного захисту (ПРУ) Новоукраїнськоого ліцею "Лідер" Новоукраїнської міської ради за адресою: Кіровоградська область, м. Новоукраїнка, вул. Соборна, 46/16"</t>
    </r>
    <r>
      <rPr>
        <sz val="12"/>
        <rFont val="Times New Roman"/>
        <family val="1"/>
        <charset val="204"/>
      </rPr>
      <t xml:space="preserve">  КЕКВ 3122. </t>
    </r>
  </si>
  <si>
    <r>
      <t xml:space="preserve">Додаткові кошти  в сумі 1387900 грн.  </t>
    </r>
    <r>
      <rPr>
        <b/>
        <sz val="12"/>
        <rFont val="Times New Roman"/>
        <family val="1"/>
        <charset val="204"/>
      </rPr>
      <t xml:space="preserve">на оплату харчування учнів початкових класів закладів загальної середньої освіти у 2025 році, яке буде придбаватись за рахунок  залишку коштів спеціального фонду  субвенції з державного бюджету місцевим бюджетам на забезпечення харчуванням учнів початкових класів закладів загальної середньої освіти за спеціальним фондом у 2024 році станом на 01.01.2025 року, відповідно до розпорядження  Кабінету Міністрів України від 26 грудня 2024 року №1323-р "Про розподіл субвенції з державного бюджету місцевим бюджетам на забезпечення харчуванням учнів початкових класів закладів загальної середньої освіти за спеціальним фондом у 2024 році" </t>
    </r>
    <r>
      <rPr>
        <sz val="12"/>
        <rFont val="Times New Roman"/>
        <family val="1"/>
        <charset val="204"/>
      </rPr>
      <t>КЕКВ 2230</t>
    </r>
  </si>
  <si>
    <r>
      <t xml:space="preserve">Перерозподіл бюджетних призначень в межах виділених річних асигнувань в сумі 50000 грн., перенесення фінансування  з КПКВ 0611026 КЕКВ 2800, а саме збільшення фінансування  на виготовлення експертизи  проектно-кошторисної документації </t>
    </r>
    <r>
      <rPr>
        <b/>
        <sz val="12"/>
        <rFont val="Times New Roman"/>
        <family val="1"/>
        <charset val="204"/>
      </rPr>
      <t>по проекту   "Нове будівництво двоповерхової будівлі в складі харчоблоку та  захисної споруди цивільного захисту (ПРУ) Новоукраїнськоого ліцею "Лідер" Новоукраїнської міської ради за адресою: Кіровоградська область, м. Новоукраїнка, вул. Соборна, 46/16"</t>
    </r>
    <r>
      <rPr>
        <sz val="12"/>
        <rFont val="Times New Roman"/>
        <family val="1"/>
        <charset val="204"/>
      </rPr>
      <t xml:space="preserve">  КЕКВ 3122. </t>
    </r>
  </si>
  <si>
    <r>
      <t xml:space="preserve">Перерозподіл бюджетних призначень в межах виділених річних асигнувань в сумі 11000 грн.,  а саме </t>
    </r>
    <r>
      <rPr>
        <b/>
        <sz val="12"/>
        <rFont val="Times New Roman"/>
        <family val="1"/>
        <charset val="204"/>
      </rPr>
      <t xml:space="preserve">збільшення фінансування для  проведення експертизи проектно-кошторисної документації по  проекту </t>
    </r>
    <r>
      <rPr>
        <sz val="12"/>
        <rFont val="Times New Roman"/>
        <family val="1"/>
        <charset val="204"/>
      </rPr>
      <t xml:space="preserve"> "Капітальний ремонт утеплення частини фасаду будівлі Новоукраїнського ліцею "Лідер" Новоукраїнської міської ради, за адресою: Кіровоградська обл., м.Новоукраїнка, вул.Соборна, 46/16 (коригування)" КЕКВ 3132, за рахунок перенесення фінансування  з КПКВ 0611026  КЕКВ 2800  </t>
    </r>
  </si>
  <si>
    <r>
      <t xml:space="preserve">Додаткові кошти в сумі 750000 грн.  на виготовлення проектно-кошторисної документації </t>
    </r>
    <r>
      <rPr>
        <b/>
        <sz val="12"/>
        <rFont val="Times New Roman"/>
        <family val="1"/>
        <charset val="204"/>
      </rPr>
      <t>по проекту   "Нове будівництво двоповерхової будівлі в складі харчоблоку та  захисної споруди цивільного захисту (ПРУ) Новоукраїнськоого ліцею "Лідер" Новоукраїнської міської ради за адресою: Кіровоградська область, м. Новоукраїнка, вул. Соборна, 46/16"</t>
    </r>
    <r>
      <rPr>
        <sz val="12"/>
        <rFont val="Times New Roman"/>
        <family val="1"/>
        <charset val="204"/>
      </rPr>
      <t xml:space="preserve">  КЕКВ 3122. </t>
    </r>
  </si>
  <si>
    <t>07.05.2025     №269/01-14</t>
  </si>
  <si>
    <t>07.05.2025     №268/01-14</t>
  </si>
  <si>
    <t>02.05.2025     89/01-29</t>
  </si>
  <si>
    <r>
      <t xml:space="preserve">Додаткові кошти в сумі 66000 грн.  на виготовлення проектно-кошторисної документації по проекту Нове будівництво каналізаційної мережі за адресою: Кіровоградська обл., м. Новоукраїнка, вул.. Набережна,  </t>
    </r>
    <r>
      <rPr>
        <b/>
        <sz val="12"/>
        <rFont val="Times New Roman"/>
        <family val="1"/>
        <charset val="204"/>
      </rPr>
      <t xml:space="preserve">відповідно до клопотання начальника відділу з питань житлово-комунального господарства та Новоукраїнського ЖКП, </t>
    </r>
    <r>
      <rPr>
        <sz val="12"/>
        <rFont val="Times New Roman"/>
        <family val="1"/>
        <charset val="204"/>
      </rPr>
      <t>як фінансову підтримку одержувачу коштів бюджету   Новоукраїнської  міської територіальної громади, через головного розпорядника коштів виконавчий комітет Новоукраїнської міської ради, за рахунок  вільного залишку коштів загального фонду бюджету Новоукраїнської  міської територіальної громади станом на 01.01.2025 року,   відповідно та пункту 22</t>
    </r>
    <r>
      <rPr>
        <vertAlign val="superscript"/>
        <sz val="12"/>
        <rFont val="Times New Roman"/>
        <family val="1"/>
        <charset val="204"/>
      </rPr>
      <t>8</t>
    </r>
    <r>
      <rPr>
        <sz val="12"/>
        <rFont val="Times New Roman"/>
        <family val="1"/>
        <charset val="204"/>
      </rPr>
      <t xml:space="preserve"> розділу VI "Прикінцеві та перехідні положення" Бюджетного кодексу України  КЕКВ 3210</t>
    </r>
  </si>
  <si>
    <r>
      <t xml:space="preserve">Додаткові кошти в сумі 42400 грн., відповідно до клопотання начальника відділу з питань житлово-комунального господарства та </t>
    </r>
    <r>
      <rPr>
        <b/>
        <sz val="12"/>
        <color theme="1"/>
        <rFont val="Times New Roman"/>
        <family val="1"/>
        <charset val="204"/>
      </rPr>
      <t>Новоукраїнського ЖКП, на придбання ножів ковша</t>
    </r>
    <r>
      <rPr>
        <sz val="12"/>
        <color theme="1"/>
        <rFont val="Times New Roman"/>
        <family val="1"/>
        <charset val="204"/>
      </rPr>
      <t>, як фінансову підтримку одержувачу коштів виконавчого комітету Новоукраїнської міської ради, за рахунок  вільного залишку коштів загального фонду бюджету Новоукраїнської  міської територіальної громади станом на 01.01.2025 року,   відповідно та пункту 22</t>
    </r>
    <r>
      <rPr>
        <vertAlign val="superscript"/>
        <sz val="12"/>
        <color theme="1"/>
        <rFont val="Times New Roman"/>
        <family val="1"/>
        <charset val="204"/>
      </rPr>
      <t>8</t>
    </r>
    <r>
      <rPr>
        <sz val="12"/>
        <color theme="1"/>
        <rFont val="Times New Roman"/>
        <family val="1"/>
        <charset val="204"/>
      </rPr>
      <t xml:space="preserve"> розділу VI "Прикінцеві та перехідні положення" Бюджетного кодексу України КЕКВ 2610</t>
    </r>
  </si>
  <si>
    <t>07.05.2025 №1973/01-21</t>
  </si>
  <si>
    <t>01.05.2025 №1892/01-21 та 07.05.2025 №1973/01-21</t>
  </si>
  <si>
    <r>
      <t>Перерозподіл бюджетних призначень в межах виділених річних асигнувань в сумі 100000 грн., перенесення фінансування  з КПКВ 0218240 КЕКВ 2210 , збільшення фінансування</t>
    </r>
    <r>
      <rPr>
        <b/>
        <sz val="12"/>
        <rFont val="Times New Roman"/>
        <family val="1"/>
        <charset val="204"/>
      </rPr>
      <t xml:space="preserve"> на інші виплати населенню (Соціальне забезпечення (КЕКВ 2730) для проведення  відшкодування  лікарських засобів  за рецептами лікарів для дітей з інвалідністю, зокрема на забезпечення лікарським засобом Бромітоб Падалко Анни-Марії Юріївни)  КНП "Центр первинної медико-санітарної допомоги",</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t>
    </r>
  </si>
  <si>
    <r>
      <t>Додаткові кошти в сумі 630000 грн., зокрема на оздоровлення дітей, у зв'язку з виробничою неохідністю по КУ "Центр соціальних послуг Новоукраїнської міської ради Кіровоградської області" на виконання Програми оздоровлення та відпочинку дітей, за рахунок перевиконання дохідної частини загального фонду бюджету Новоукраїнської міської територіальної громади станом на 01.05.2025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   в сумі 530000 грн. та за рахунок перенесення з КПКВ 0218240 КЕКВ 2210 в сумі 100000 грн. КЕКВ 2282</t>
    </r>
  </si>
  <si>
    <t>1300</t>
  </si>
  <si>
    <t>Будівництво-1 освітніх установ та закладів</t>
  </si>
  <si>
    <t xml:space="preserve">виготовлення проектно-кошторисної документації по проекту   "Нове будівництво двоповерхової будівлі в складі харчоблоку та  захисної споруди цивільного захисту (ПРУ) Новоукраїнськоого ліцею "Лідер" Новоукраїнської міської ради за адресою: Кіровоградська область, м. Новоукраїнка, вул. Соборна, 46/16" </t>
  </si>
  <si>
    <t xml:space="preserve"> Програми оздоровлення та відпочинку дітей</t>
  </si>
  <si>
    <r>
      <t xml:space="preserve"> Перерозподіл бюджетних призначень в межах виділених річних асигнувань  в сумі 20000 грн., перенесення фінансування  з КПКВ 0216030 КЕКВ 2273, за рахунок збільшення  фінансування</t>
    </r>
    <r>
      <rPr>
        <b/>
        <sz val="12"/>
        <rFont val="Times New Roman"/>
        <family val="1"/>
        <charset val="204"/>
      </rPr>
      <t xml:space="preserve"> для забезпечення проведення  заходів, зокрема і  заходів у сфері молодіжної політики, на виконання Програми Сім’я та молодь" Новоукраїнської міської об’єднаної територіальної громади на 2018-2027 роки на придбання канцтоварів в сумі 7000 грн. </t>
    </r>
    <r>
      <rPr>
        <sz val="12"/>
        <rFont val="Times New Roman"/>
        <family val="1"/>
        <charset val="204"/>
      </rPr>
      <t>КЕКВ 2210</t>
    </r>
    <r>
      <rPr>
        <b/>
        <sz val="12"/>
        <rFont val="Times New Roman"/>
        <family val="1"/>
        <charset val="204"/>
      </rPr>
      <t xml:space="preserve"> та на оплату послуг (крім комунальних)  (оплата кейтерингових послуг та/або послуг гарячого харчування учасників)</t>
    </r>
    <r>
      <rPr>
        <sz val="12"/>
        <rFont val="Times New Roman"/>
        <family val="1"/>
        <charset val="204"/>
      </rPr>
      <t xml:space="preserve"> в сумі 13000 грн.  КЕКВ 2240</t>
    </r>
  </si>
  <si>
    <r>
      <t xml:space="preserve"> Перерозподіл бюджетних призначень в межах виділених річних асигнувань  в сумі 675000 грн., відповідно до клопотання начальника відділу з питань житлово-комунального господарства та Новоукраїнського ЖКП, збільшення фінансування на </t>
    </r>
    <r>
      <rPr>
        <b/>
        <sz val="12"/>
        <rFont val="Times New Roman"/>
        <family val="1"/>
        <charset val="204"/>
      </rPr>
      <t>придбання асенізаторної машини</t>
    </r>
    <r>
      <rPr>
        <sz val="12"/>
        <rFont val="Times New Roman"/>
        <family val="1"/>
        <charset val="204"/>
      </rPr>
      <t xml:space="preserve">,  як фінансову підтримку Новоукраїнському ЖКП одержувачу коштів бюджету   Новоукраїнської  міської територіальної громади, через головного розпорядника коштів виконавчий комітет Новоукраїнської міської ради КЕКВ 3210,  за рахунок перенесення фінансування  з КПКВ 0218240 КЕКВ 2210 </t>
    </r>
  </si>
  <si>
    <t>08.05.2025        №2023/01-21</t>
  </si>
  <si>
    <t>Дата та номер документа, яким затверджено місцеву регіональну програму (із внесними до них змінами)</t>
  </si>
  <si>
    <t>Перерозподіл бюджетних призначень в межах виділених річних асигнувань в сумі 344989,60 грн., перенесення фінансування  з  КПКВ 0813121  КЕКВ 2111 в сумі 275140,43 грн. та КЕКВ 2120 в сумі 69849,17 грн., збільшення фінансування на виплату заробітної плати працівникам по КЗ Ветеранський Центр Новоукраїнської громади, у зв'язку із  зміною назви та внесенням змін до положення КУ "Новоукраїнський міський центр соціальних служб"  в сумі    275140,43 грн., КЕКВ 2111 та  нарахування на заробітну плату в сумі 69849,17 грн. КЕКВ 2120</t>
  </si>
  <si>
    <t xml:space="preserve">Перерозподіл бюджетних призначень в межах виділених річних асигнувань в сумі 15813,17 грн., перенесення фінансування  з  КПКВ 0813121  КЕКВ 2210, збільшення фінансування на предмети матеріали обладнання та інвентар КЗ Ветеранський Центр Новоукраїнської громади, у зв'язку із  внесенням змін до положення КУ "Центр соціальних послуг Новоукраїнської міської ради Кіровоградської області" КЕКВ 2210 </t>
  </si>
  <si>
    <t xml:space="preserve">Перерозподіл бюджетних призначень в межах виділених річних асигнувань в сумі 4511,96 грн., перенесення фінансування  з КПКВ 0813121  КЕКВ 2240, збільшення фінансування  на оплату послуг (крім комунальних) по КЗ Ветеранський Центр Новоукраїнської громади, у зв'язку із  зміною назви та внесенням змін до положення КУ "Новоукраїнський міський центр соціальних служб" КЕКВ 2240 </t>
  </si>
  <si>
    <t xml:space="preserve">Перерозподіл бюджетних призначень в межах виділених річних асигнувань в сумі 4035 грн., перенесення фінансування  з  КПКВ 0813121  КЕКВ 2250, збільшення фінансування для оплати за відрядження по КЗ Ветеранський Центр Новоукраїнської громади, у зв'язку із  зміною назви та внесенням змін до положення КУ "Новоукраїнський міський центр соціальних служб"  КЕКВ 2250 </t>
  </si>
  <si>
    <t xml:space="preserve">Перерозподіл бюджетних призначень в межах виділених річних асигнувань в сумі 2655,22 грн., перенесення фінансування  з  КПКВ 0813121  КЕКВ 2275, збільшення фінансування для оплати інших енергоносіїв та інших комунальних послуг по КЗ Ветеранський Центр Новоукраїнської громади, у зв'язку із  зміною назви та внесенням змін до положення КУ "Новоукраїнський міський центр соціальних служб"  КЕКВ 2275 </t>
  </si>
  <si>
    <t xml:space="preserve">Перерозподіл бюджетних призначень в межах виділених річних асигнувань в сумі 910,00 грн., перенесення фінансування  з  КПКВ 0813121  КЕКВ 2800, збільшення фінансування для оплати інших поточних видатків по КЗ Ветеранський Центр Новоукраїнської громади, у зв'язку із  зміною назви та внесенням змін до положення КУ "Новоукраїнський міський центр соціальних служб"  КЕКВ 2800 </t>
  </si>
  <si>
    <t>Перерозподіл бюджетних призначень в межах виділених річних асигнувань в сумі 875000 грн.,  перенесення фінансування  на КПКВ 0216020 КЕКВ 3210 в сумі 675000 грн., на КПКВ 0812111 КЕКВ 2610  в сумі 100000 грн. та на КПКВ 0813140 КЕКВ 2282  в сумі 100000 грн., а саме зменшення фінансування на поточні видатки  на реалізацію   Комплексної  Програми підтримки військовослужбовців Сил територіальної оборони та Збройних Сил України на 2025 рік  (пункт 6 Програми), на виконання поставлених бойових завдань для придбання товарів подвійного призначення для потреб Сил територіальної оборони  для забезпечення готовності підрозділів Сил територіальної оборони, ЗСУ до виконання завдань за призначенням, як заходи та роботи з територіальної оборони та мобілізаційної підготовки, підтримку сил безпеки і оборони для військової частини, з подальшою передачею відповідно до рішення міської ради та акта для потреб територіальної оборони (військової частини) КЕКВ 2210</t>
  </si>
  <si>
    <t>Перерозподіл бюджетних призначень в межах виділених річних асигнувань в сумі 446500 грн., перенесення фінансування  на  КПКВ 0813121  КЕКВ 2111 в сумі 366000 грн. та КЕКВ 2120 в сумі 80500 грн., зменшення фінансування на виплату заробітної плати працівникам по КУ "Новоукраїнський міський центр соціальних служб", у зв'язку із  внесенням змін до положення та структури КУ "Центр соціальних послуг Новоукраїнської міської ради Кіровоградської області" та зміною назви та внесенням змін до положення КУ "Новоукраїнський міський центр соціальних служб"  в сумі    366000 грн., КЕКВ 2111 та  нарахування на заробітну плату в сумі 80500 грн. КЕКВ 2120</t>
  </si>
  <si>
    <r>
      <t xml:space="preserve"> Перерозподіл бюджетних призначень в межах виділених річних асигнувань в сумі 20000 грн.,  перенесення фінансування  з КПКВ 0216030 КЕКВ 2273,  за рахунок збільшення  фінансування </t>
    </r>
    <r>
      <rPr>
        <b/>
        <sz val="12"/>
        <rFont val="Times New Roman"/>
        <family val="1"/>
        <charset val="204"/>
      </rPr>
      <t xml:space="preserve">на сплату членських внесків для забезпечення проведення навчально - тренувальних зборів і змагань на виконання Програма розвитку фізичної культури і спорту Новоукраїнської територіальної громади на 2017-2027 роки </t>
    </r>
    <r>
      <rPr>
        <sz val="12"/>
        <rFont val="Times New Roman"/>
        <family val="1"/>
        <charset val="204"/>
      </rPr>
      <t>КЕКВ 2800</t>
    </r>
  </si>
  <si>
    <r>
      <t xml:space="preserve"> Перерозподіл бюджетних призначень в межах виділених річних асигнувань  в сумі 20000 грн., зменшення фінансування</t>
    </r>
    <r>
      <rPr>
        <b/>
        <sz val="12"/>
        <rFont val="Times New Roman"/>
        <family val="1"/>
        <charset val="204"/>
      </rPr>
      <t xml:space="preserve"> на оплату електроенергії по вуличному освітленню </t>
    </r>
    <r>
      <rPr>
        <sz val="12"/>
        <rFont val="Times New Roman"/>
        <family val="1"/>
        <charset val="204"/>
      </rPr>
      <t xml:space="preserve">Новоукраїнської міської територіальної громади, у зв'язку з необхідністю КЕКВ 2273,  за рахунок перенесення фінансування  на КПКВ 02105011  КЕКВ 2800 </t>
    </r>
  </si>
  <si>
    <r>
      <t>Додаткові кошти  в сумі 60000 грн. на</t>
    </r>
    <r>
      <rPr>
        <b/>
        <sz val="12"/>
        <rFont val="Times New Roman"/>
        <family val="1"/>
        <charset val="204"/>
      </rPr>
      <t xml:space="preserve"> виготовлення та встановлення зупинок громадського транспорту</t>
    </r>
    <r>
      <rPr>
        <sz val="12"/>
        <rFont val="Times New Roman"/>
        <family val="1"/>
        <charset val="204"/>
      </rPr>
      <t>, у зв'язку з необхідністю КЕКВ 3110, за рахунок перевиконання дохідної частини загального фонду бюджету Новоукраїнської міської територіальної громади станом на 01.05.2025 року, відповідно до офіційного висновку та пункту 22</t>
    </r>
    <r>
      <rPr>
        <vertAlign val="superscript"/>
        <sz val="12"/>
        <rFont val="Times New Roman"/>
        <family val="1"/>
        <charset val="204"/>
      </rPr>
      <t>2</t>
    </r>
    <r>
      <rPr>
        <sz val="12"/>
        <rFont val="Times New Roman"/>
        <family val="1"/>
        <charset val="204"/>
      </rPr>
      <t xml:space="preserve"> розділу VI "Прикінцеві та перехідні положення" Бюджетного кодексу України</t>
    </r>
  </si>
  <si>
    <t>12.05.2025        №2065/01-21</t>
  </si>
  <si>
    <t>13.05.2025        №613/02-16</t>
  </si>
  <si>
    <r>
      <t xml:space="preserve">Перерозподіл бюджетних призначень в межах виділених річних асигнувань в сумі 50000 грн. перенесення фінансування  з КПКВ 0812111 КЕКВ 2610, збільшення фінансування </t>
    </r>
    <r>
      <rPr>
        <b/>
        <sz val="12"/>
        <rFont val="Times New Roman"/>
        <family val="1"/>
        <charset val="204"/>
      </rPr>
      <t xml:space="preserve">  на на предмети матеріали обладнання та інвентар,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 відповідно до рішення  Рівнянської сільської ради від 09.05.2025 року №2672</t>
    </r>
  </si>
  <si>
    <r>
      <t xml:space="preserve">Перерозподіл бюджетних призначень в межах виділених річних асигнувань в сумі 50000 грн. перенесення фінансування  на КПКВ 0812111 КЕКВ 2610, зменшення фінансування </t>
    </r>
    <r>
      <rPr>
        <b/>
        <sz val="12"/>
        <rFont val="Times New Roman"/>
        <family val="1"/>
        <charset val="204"/>
      </rPr>
      <t xml:space="preserve"> на оплату комунальних послуг та енергоносіїв, співфінансування за рахунок субвенції з бюджету Рівнянської сільської територіальної громади для КНП "Центр первинної медико-санітарної допомоги", </t>
    </r>
    <r>
      <rPr>
        <sz val="12"/>
        <rFont val="Times New Roman"/>
        <family val="1"/>
        <charset val="204"/>
      </rPr>
      <t xml:space="preserve"> як одержувачу коштів управління соціального захисту та охорони здоров'я  Новоукраїнської міської ради  КЕКВ 2610, відповідно до рішення  Рівнянської сільської ради від 09.05.2025 року №2672</t>
    </r>
  </si>
  <si>
    <t>Новоукраїнської міської ради від  __ червня 2025 року № __)</t>
  </si>
  <si>
    <t>16.05.2025     № 292/01-14</t>
  </si>
  <si>
    <t xml:space="preserve">Перерозподіл бюджетних призначень в межах виділених річних асигнувань в сумі 36000 грн., перенесення фінансування  з КПКВ 0611141  КЕКВ 2210, збільшення фінансування   на придбання предметів, матеріалів, обладанння та інвентарю по централізованій бухгалтерії (капітальні видатки) КЕКВ 3110 </t>
  </si>
  <si>
    <t xml:space="preserve">Перерозподіл бюджетних призначень в межах виділених річних асигнувань в сумі 36000 грн., перенесення фінансування  на КПКВ 0611141  КЕКВ 3110, зменшення фінансування   на придбання предметів, матеріалів, обладанння та інвентарю по централізованій бухгалтерії (поточні видатки) КЕКВ 2210 </t>
  </si>
  <si>
    <r>
      <t xml:space="preserve">Перерозподіл бюджетних призначень в межах виділених річних асигнувань в сумі 600 грн.,  а саме </t>
    </r>
    <r>
      <rPr>
        <b/>
        <sz val="12"/>
        <color theme="1"/>
        <rFont val="Times New Roman"/>
        <family val="1"/>
        <charset val="204"/>
      </rPr>
      <t>збільшення фінансування для виплати одноразової грошової винагороди  учням (вихованцям, випускникам закладів освіти)   ЦДЮТ "Зоріт"</t>
    </r>
    <r>
      <rPr>
        <sz val="12"/>
        <color theme="1"/>
        <rFont val="Times New Roman"/>
        <family val="1"/>
        <charset val="204"/>
      </rPr>
      <t xml:space="preserve"> КЕКВ 2730 , зв'язку з виробничою необхідністю, за рахунок перенесення фінансування  з КПКВ 0611070  КЕКВ 2800.    </t>
    </r>
  </si>
  <si>
    <r>
      <t xml:space="preserve">Перерозподіл бюджетних призначень в межах виділених річних асигнувань в сумі 600 грн.,  а саме </t>
    </r>
    <r>
      <rPr>
        <b/>
        <sz val="12"/>
        <color theme="1"/>
        <rFont val="Times New Roman"/>
        <family val="1"/>
        <charset val="204"/>
      </rPr>
      <t>зменшення фінансування дя оплати інших поточних видатків   ЦДЮТ "Зоріт"</t>
    </r>
    <r>
      <rPr>
        <sz val="12"/>
        <color theme="1"/>
        <rFont val="Times New Roman"/>
        <family val="1"/>
        <charset val="204"/>
      </rPr>
      <t xml:space="preserve"> КЕКВ  2800, зв'язку з виробничою необхідністю, за рахунок перенесення фінансування  на КПКВ 0611070  КЕКВ 2730.    </t>
    </r>
  </si>
  <si>
    <t xml:space="preserve">Перерозподіл бюджетних призначень в межах виділених річних асигнувань в сумі 16000 грн., перенесення фінансування  з  КПКВ 0611160  КЕКВ 2275, збільшення фінансування на інші енергоносії по централізованій бухгалтерії КЕКВ 2275. </t>
  </si>
  <si>
    <t xml:space="preserve">Перерозподіл бюджетних призначень в межах виділених річних асигнувань в сумі 21870 грн., перенесення фінансування  з  КПКВ 0611160  КЕКВ 2273, збільшення фінансування на оплату електроенергії по централізованій бухгалтерії КЕКВ 2273. </t>
  </si>
  <si>
    <t xml:space="preserve">Перерозподіл бюджетних призначень в межах виділених річних асигнувань в сумі 16000 грн., перенесення фінансування  на  КПКВ 0611141  КЕКВ 2275, зменшення фінансування на інші енергоносії по  центру професійного розвитку КЕКВ 2275. </t>
  </si>
  <si>
    <r>
      <t xml:space="preserve">Додаткові кошти  в сумі 99994 грн., </t>
    </r>
    <r>
      <rPr>
        <b/>
        <sz val="12"/>
        <rFont val="Times New Roman"/>
        <family val="1"/>
        <charset val="204"/>
      </rPr>
      <t xml:space="preserve">зокрема на оплату електроенергії </t>
    </r>
    <r>
      <rPr>
        <b/>
        <sz val="12"/>
        <color rgb="FFFF0000"/>
        <rFont val="Times New Roman"/>
        <family val="1"/>
        <charset val="204"/>
      </rPr>
      <t xml:space="preserve"> в сумі 24397 грн. КЕКВ 2273,  на предмети, матеріали, обладанння та інвентар в сумі 20000 грн. КЕКВ 2210, на оплату послуг(крім комунальних) в сумі 10000 грн. КЕКВ 2240, для оплати інших енергоносіїв  в сумі 70000 грн. КЕКВ 2275</t>
    </r>
    <r>
      <rPr>
        <b/>
        <sz val="12"/>
        <rFont val="Times New Roman"/>
        <family val="1"/>
        <charset val="204"/>
      </rPr>
      <t>, за рахунок коштів інших дотацій з місцевого бюджету  на покриття витрат за грудень 2024 року</t>
    </r>
    <r>
      <rPr>
        <sz val="12"/>
        <rFont val="Times New Roman"/>
        <family val="1"/>
        <charset val="204"/>
      </rPr>
      <t xml:space="preserve"> по КЗ "Новоукраїнський міський центр тимчасового проживання/перебування внутрішньо переміщених осіб", </t>
    </r>
    <r>
      <rPr>
        <b/>
        <sz val="12"/>
        <rFont val="Times New Roman"/>
        <family val="1"/>
        <charset val="204"/>
      </rPr>
      <t>компенсація витрат на енергоносії та комунальні послуги</t>
    </r>
    <r>
      <rPr>
        <sz val="12"/>
        <rFont val="Times New Roman"/>
        <family val="1"/>
        <charset val="204"/>
      </rPr>
      <t xml:space="preserve">, відповідно до розпорядження Кабінету Міністрів України від 06.05.2025 року  № 444-р "Про виділення коштів з резервного фонду державного бюджету з метою покриття витрат за  грудень 2024 р. об’єктів державної, комунальної та приватної власності", розпорядження  начальника Кіровоградської обласної військової адміністрації від  20.05.2025 року  № 860-р, розпорядження  начальника Кіровоградської обласної військової адміністрації від  </t>
    </r>
    <r>
      <rPr>
        <sz val="12"/>
        <color rgb="FFFF0000"/>
        <rFont val="Times New Roman"/>
        <family val="1"/>
        <charset val="204"/>
      </rPr>
      <t>22.04.2025 року  № 759-р, про внесення змін до   розпорядження  начальника Кіровоградської обласної військової адміністрації від 20.12.2024 року № 1264-р "Про обласний бюджет Кіровоградської області  на 2025 рік".</t>
    </r>
    <r>
      <rPr>
        <sz val="12"/>
        <rFont val="Times New Roman"/>
        <family val="1"/>
        <charset val="204"/>
      </rPr>
      <t xml:space="preserve">  Внести відповідні зміни до Програми підтримки внутрішньо переміщених та/або евакуйованих осіб, у зв’язку із введенням воєнного стану на 2022-2026 роки на черговій сесії Новоукраїнської  міської ради.</t>
    </r>
  </si>
  <si>
    <t>22.05.2025        №119/01-20</t>
  </si>
  <si>
    <t>23.05.2025     №320/01-14</t>
  </si>
  <si>
    <r>
      <t xml:space="preserve">Перерозподіл бюджетних призначень в межах виділених річних асигнувань в сумі 693618 грн.,  а саме </t>
    </r>
    <r>
      <rPr>
        <b/>
        <sz val="12"/>
        <color rgb="FFFF0000"/>
        <rFont val="Times New Roman"/>
        <family val="1"/>
        <charset val="204"/>
      </rPr>
      <t xml:space="preserve">зменшення фінансування для оплати інших енергоносіїв </t>
    </r>
    <r>
      <rPr>
        <sz val="12"/>
        <color rgb="FFFF0000"/>
        <rFont val="Times New Roman"/>
        <family val="1"/>
        <charset val="204"/>
      </rPr>
      <t xml:space="preserve"> по загальноосвітніх  навчальних закладах  КЕКВ 2275.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 за рахунок перенесення фінансування  на КПКВ 0611142  КЕКВ 2240  </t>
    </r>
  </si>
  <si>
    <r>
      <t xml:space="preserve">Перерозподіл бюджетних призначень в межах виділених річних асигнувань в сумі 250000 грн.,  а саме </t>
    </r>
    <r>
      <rPr>
        <b/>
        <sz val="12"/>
        <color rgb="FFFF0000"/>
        <rFont val="Times New Roman"/>
        <family val="1"/>
        <charset val="204"/>
      </rPr>
      <t xml:space="preserve">збільшення фінансування  на оплату послуг(крім комунальних) </t>
    </r>
    <r>
      <rPr>
        <sz val="12"/>
        <color rgb="FFFF0000"/>
        <rFont val="Times New Roman"/>
        <family val="1"/>
        <charset val="204"/>
      </rPr>
      <t xml:space="preserve"> для закладів загальної середньої освіти КЕКВ 2240, за рахунок перенесення фінансування  з КПКВ 0611021  КЕКВ 2230.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t>
    </r>
  </si>
  <si>
    <r>
      <t xml:space="preserve">Перерозподіл бюджетних призначень в межах виділених річних асигнувань в сумі 33399 грн.,  а саме </t>
    </r>
    <r>
      <rPr>
        <b/>
        <sz val="12"/>
        <color rgb="FFFF0000"/>
        <rFont val="Times New Roman"/>
        <family val="1"/>
        <charset val="204"/>
      </rPr>
      <t xml:space="preserve">збільшення фінансування  на предмети, матеріали, обладанння та інвентар </t>
    </r>
    <r>
      <rPr>
        <sz val="12"/>
        <color rgb="FFFF0000"/>
        <rFont val="Times New Roman"/>
        <family val="1"/>
        <charset val="204"/>
      </rPr>
      <t xml:space="preserve"> для закладів загальної середньої освіти КЕКВ 2210, за рахунок перенесення фінансування  з КПКВ 0611021  КЕКВ 2230.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t>
    </r>
  </si>
  <si>
    <r>
      <t xml:space="preserve">Перерозподіл бюджетних призначень в межах виділених річних асигнувань в сумі 160139 грн.,  а саме </t>
    </r>
    <r>
      <rPr>
        <b/>
        <sz val="12"/>
        <color rgb="FFFF0000"/>
        <rFont val="Times New Roman"/>
        <family val="1"/>
        <charset val="204"/>
      </rPr>
      <t xml:space="preserve">збільшення фінансування  для оплати послуг з поточного ремонту покрівлі будівлі Новоукраїнського ліцею №4 Новоукраїнської  міської ради  КЕКВ 2240,  </t>
    </r>
    <r>
      <rPr>
        <sz val="12"/>
        <color rgb="FFFF0000"/>
        <rFont val="Times New Roman"/>
        <family val="1"/>
        <charset val="204"/>
      </rPr>
      <t xml:space="preserve">у зв'язку з виробничою необхідністю.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2024 рік,  за рахунок перенесення фінансування  з КПКВ 0611021  КЕКВ 2275   </t>
    </r>
  </si>
  <si>
    <r>
      <t xml:space="preserve">Перерозподіл бюджетних призначень в межах виділених річних асигнувань в сумі 18000 грн., перенесення фінансування  з  КПКВ 0611026  КЕКВ 2800, збільшення фінансування </t>
    </r>
    <r>
      <rPr>
        <b/>
        <sz val="12"/>
        <color rgb="FFFF0000"/>
        <rFont val="Times New Roman"/>
        <family val="1"/>
        <charset val="204"/>
      </rPr>
      <t>на оплату послуг(крім комунальних) (утилізація акумуляторів та шин) для Новоукраїнського міжшкільного ресурсного центру</t>
    </r>
    <r>
      <rPr>
        <sz val="12"/>
        <color rgb="FFFF0000"/>
        <rFont val="Times New Roman"/>
        <family val="1"/>
        <charset val="204"/>
      </rPr>
      <t>, у зв'язку із  виробничою необхідністю.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КЕКВ 2240</t>
    </r>
  </si>
  <si>
    <r>
      <t xml:space="preserve">Перерозподіл бюджетних призначень в межах виділених річних асигнувань в сумі 15000 грн., перенесення фінансування  на  КПКВ 0611070  КЕКВ 2800, зменшення фінансування </t>
    </r>
    <r>
      <rPr>
        <b/>
        <sz val="12"/>
        <color rgb="FFFF0000"/>
        <rFont val="Times New Roman"/>
        <family val="1"/>
        <charset val="204"/>
      </rPr>
      <t>для оплати інших поточних видатків для Новоукраїнського міжшкільного ресурсного центру</t>
    </r>
    <r>
      <rPr>
        <sz val="12"/>
        <color rgb="FFFF0000"/>
        <rFont val="Times New Roman"/>
        <family val="1"/>
        <charset val="204"/>
      </rPr>
      <t>, у зв'язку із  виробничою необхідністю.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КЕКВ 2800</t>
    </r>
  </si>
  <si>
    <r>
      <t xml:space="preserve">Перерозподіл бюджетних призначень в межах виділених річних асигнувань в сумі 11000 грн., перенесення фінансування  на  КПКВ 0611021  КЕКВ 3132, зменшення фінансування </t>
    </r>
    <r>
      <rPr>
        <b/>
        <sz val="12"/>
        <color rgb="FFFF0000"/>
        <rFont val="Times New Roman"/>
        <family val="1"/>
        <charset val="204"/>
      </rPr>
      <t>для оплати інших поточних видатків для Новоукраїнського міжшкільного ресурсного центру</t>
    </r>
    <r>
      <rPr>
        <sz val="12"/>
        <color rgb="FFFF0000"/>
        <rFont val="Times New Roman"/>
        <family val="1"/>
        <charset val="204"/>
      </rPr>
      <t>, у зв'язку із  виробничою необхідністю.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КЕКВ 2800</t>
    </r>
  </si>
  <si>
    <r>
      <t xml:space="preserve">Перерозподіл бюджетних призначень в межах виділених річних асигнувань в сумі 50000 грн., перенесення фінансування  на  КПКВ 0611300  КЕКВ 3122, зменшення фінансування </t>
    </r>
    <r>
      <rPr>
        <b/>
        <sz val="12"/>
        <color rgb="FFFF0000"/>
        <rFont val="Times New Roman"/>
        <family val="1"/>
        <charset val="204"/>
      </rPr>
      <t>для оплати інших поточних видатків для Новоукраїнського міжшкільного ресурсного центру</t>
    </r>
    <r>
      <rPr>
        <sz val="12"/>
        <color rgb="FFFF0000"/>
        <rFont val="Times New Roman"/>
        <family val="1"/>
        <charset val="204"/>
      </rPr>
      <t>, у зв'язку із  виробничою необхідністю. Внести зміни до Міської Програми розвитку  освіти Новоукраїнської міської  територіальної громади на 2024-2028 роки на черговій сесії Новоукраїнської  міської ради КЕКВ 2800</t>
    </r>
  </si>
  <si>
    <r>
      <t xml:space="preserve">Перерозподіл бюджетних призначень в межах виділених річних асигнувань в сумі 41796 грн., перенесення фінансування  на  КПКВ 0611010  КЕКВ 2282 в сумі 14012 грн., на  КПКВ 0611021  КЕКВ 2282 в сумі 25853 грн., на  КПКВ 0611070  КЕКВ 2282 в сумі 1931 грн., зменшення фінансування </t>
    </r>
    <r>
      <rPr>
        <b/>
        <sz val="12"/>
        <color theme="1"/>
        <rFont val="Times New Roman"/>
        <family val="1"/>
        <charset val="204"/>
      </rPr>
      <t>для оплати навчання  для Новоукраїнського міжшкільного ресурсного центру</t>
    </r>
    <r>
      <rPr>
        <sz val="12"/>
        <color theme="1"/>
        <rFont val="Times New Roman"/>
        <family val="1"/>
        <charset val="204"/>
      </rPr>
      <t>, у зв'язку із  виробничою необхідністю КЕКВ 2282</t>
    </r>
  </si>
  <si>
    <r>
      <t xml:space="preserve">Перерозподіл бюджетних призначень в межах виділених річних асигнувань в сумі 1931 грн.,  а саме </t>
    </r>
    <r>
      <rPr>
        <b/>
        <sz val="12"/>
        <color theme="1"/>
        <rFont val="Times New Roman"/>
        <family val="1"/>
        <charset val="204"/>
      </rPr>
      <t>збільшення фінансування  для оплати навчання  ЦДЮТ "Зоріт"</t>
    </r>
    <r>
      <rPr>
        <sz val="12"/>
        <color theme="1"/>
        <rFont val="Times New Roman"/>
        <family val="1"/>
        <charset val="204"/>
      </rPr>
      <t xml:space="preserve"> КЕКВ 2282, зв'язку з виробничою необхідністю, за рахунок перенесення фінансування  з КПКВ 0611026  КЕКВ 2282. </t>
    </r>
  </si>
  <si>
    <r>
      <t xml:space="preserve">Перерозподіл бюджетних призначень в межах виділених річних асигнувань в сумі 25853 грн.,  а саме </t>
    </r>
    <r>
      <rPr>
        <b/>
        <sz val="12"/>
        <color theme="1"/>
        <rFont val="Times New Roman"/>
        <family val="1"/>
        <charset val="204"/>
      </rPr>
      <t xml:space="preserve">збільшення фінансування   для оплати навчання </t>
    </r>
    <r>
      <rPr>
        <sz val="12"/>
        <color theme="1"/>
        <rFont val="Times New Roman"/>
        <family val="1"/>
        <charset val="204"/>
      </rPr>
      <t xml:space="preserve"> для закладів загальної середньої освіти КЕКВ 2282, за рахунок перенесення фінансування  з КПКВ 0611026  КЕКВ 2282.  </t>
    </r>
  </si>
  <si>
    <r>
      <t xml:space="preserve">Перерозподіл бюджетних призначень в межах виділених річних асигнувань в сумі 14012 грн.,  а саме </t>
    </r>
    <r>
      <rPr>
        <b/>
        <sz val="12"/>
        <color theme="1"/>
        <rFont val="Times New Roman"/>
        <family val="1"/>
        <charset val="204"/>
      </rPr>
      <t xml:space="preserve">збільшення фінансування  для оплати навчання для </t>
    </r>
    <r>
      <rPr>
        <sz val="12"/>
        <color theme="1"/>
        <rFont val="Times New Roman"/>
        <family val="1"/>
        <charset val="204"/>
      </rPr>
      <t xml:space="preserve"> дошкільних  навчальних закладів  КЕКВ 2282,  за рахунок перенесення фінансування  з КПКВ 0611026 КЕКВ 2282. </t>
    </r>
  </si>
  <si>
    <t>Перерозподіл бюджетних призначень в межах виділених річних асигнувань в сумі 21930 грн., перенесення фінансування  з КПКВ 0216030 КЕКВ 2273, збільшення фінансування  на оплату послуг з виготовлення плакатів з портретами для встановлення  на алеї Героїв Новоукраїнської міської територіальної громади  КЕКВ 2210.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t>
  </si>
  <si>
    <r>
      <t xml:space="preserve">Перерозподіл бюджетних призначень в межах виділених річних асигнувань  в сумі 166314 грн.  перенесення фінансування  з КПКВ 0216030 КЕКВ 2273, збільшення фінансування на проведення поточного ремонту майданчику алеї Героїв Новоукраїнської міської територіальної громади  </t>
    </r>
    <r>
      <rPr>
        <b/>
        <sz val="12"/>
        <rFont val="Times New Roman"/>
        <family val="1"/>
        <charset val="204"/>
      </rPr>
      <t xml:space="preserve"> палацу культури "Ювілейний"</t>
    </r>
    <r>
      <rPr>
        <sz val="12"/>
        <rFont val="Times New Roman"/>
        <family val="1"/>
        <charset val="204"/>
      </rPr>
      <t xml:space="preserve"> КЕКВ 2240. Залучити на незахищені видатки вивільнені кошти на заміну джерела фінансування, передбачені за рахунок надходжень до бюджету Новоукраїнської міської територіальної громади на 2025 рік.</t>
    </r>
  </si>
  <si>
    <r>
      <t xml:space="preserve"> Перерозподіл бюджетних призначень в межах виділених річних асигнувань  в сумі 188244 грн., зменшення фінансування</t>
    </r>
    <r>
      <rPr>
        <b/>
        <sz val="12"/>
        <rFont val="Times New Roman"/>
        <family val="1"/>
        <charset val="204"/>
      </rPr>
      <t xml:space="preserve"> на оплату електроенергії по вуличному освітленню </t>
    </r>
    <r>
      <rPr>
        <sz val="12"/>
        <rFont val="Times New Roman"/>
        <family val="1"/>
        <charset val="204"/>
      </rPr>
      <t>Новоукраїнської міської територіальної громади, у зв'язку з необхідністю КЕКВ 2273,  за рахунок перенесення фінансування  на КПКВ 1014082  КЕКВ 2210  в сумі 21930 грн., на КПКВ 1014082  КЕКВ 2240  в сумі 166314 грн.</t>
    </r>
  </si>
  <si>
    <t>про перевиконання дохідної частини загального фонду бюджету Новоукраїнської міської територіальної громади станом на 01.06.2025 року</t>
  </si>
  <si>
    <t>28.05.2025     № 334/01-14</t>
  </si>
  <si>
    <t xml:space="preserve">0611160 </t>
  </si>
  <si>
    <t xml:space="preserve">Перерозподіл бюджетних призначень в межах виділених річних асигнувань в сумі 18400 грн., перенесення фінансування  з КПКВ 0611160  КЕКВ 2210, збільшення фінансування   на придбання предметів, матеріалів, обладанння та інвентарю, для придбання  ноутбука по  центру професійного розвитку (капітальні видатки) КЕКВ 3110 </t>
  </si>
  <si>
    <t xml:space="preserve"> Перерозподіл бюджетних призначень в межах виділених річних асигнувань в сумі 1000000 грн., збільшення фінансування  на оплату комунальних послуг та енергоносіїв (електроенергії)  у  КНП "Новоукраїнська  міська лікарня" Новоукраїнської  міської ради, як одержувачу коштів управління соціального захисту та охорони здоров'я  Новоукраїнської міської ради КЕКВ 2610,  за рахунок перенесення фінансування  з КПКВ 0813242 КЕКВ 2730</t>
  </si>
  <si>
    <t>28.05.2025     № ___/01-14</t>
  </si>
  <si>
    <t>28.05.2025     № ____/01-14</t>
  </si>
  <si>
    <t xml:space="preserve"> Перерозподіл бюджетних призначень в межах виділених річних асигнувань в сумі 1000000 грн., зменшення фінансування на реалізацію програми  соціальної підтримки населення на території Новоукраїнської міської  територіальної громади на 2021-2026 роки, в частині надання матеріальної підтримки особам, які зареєстровані і фактично проживають на території Новоукраїнської міської ТГ, перебувають у складному матеріальному становищі  КЕКВ 2730,  за рахунок перенесення фінансування на КПКВ 0812010 КЕКВ 2610 </t>
  </si>
  <si>
    <t xml:space="preserve">Перерозподіл бюджетних призначень в межах виділених річних асигнувань в сумі 18400 грн., перенесення фінансування  на  КПКВ 0611160  КЕКВ 3110, зменшення фінансування на придбання предметів, матеріалів, обладанння та інвентарю  по  центру професійного розвитку КЕКВ 2273 (поточні видатки) </t>
  </si>
  <si>
    <t>у тому числі за рахунок залишку  інших дотацій з місцевого бюджету</t>
  </si>
  <si>
    <t xml:space="preserve">Новоукраїнської міської ради від  02 червня 2025 року № 1986 ) </t>
  </si>
  <si>
    <t>Новоукраїнської міської ради від  02 червня 2025 року № 1986)</t>
  </si>
  <si>
    <t xml:space="preserve">Новоукраїнської міської ради від  02 червня 2025 року № 1986) </t>
  </si>
  <si>
    <t xml:space="preserve">Новоукраїнської міської ради від  02 червня 2025 року № 1986)              </t>
  </si>
  <si>
    <t xml:space="preserve">від 02 червня 2025 року № 1986) </t>
  </si>
  <si>
    <t xml:space="preserve">                                                                                                   Новоукраїнської міської ради від  02 червня 2025 року № 1986)           </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</si>
</sst>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64" formatCode="#,##0;\-#,##0;#,&quot;-&quot;"/>
    <numFmt numFmtId="165" formatCode="#,##0.00_ ;\-#,##0.00\ "/>
    <numFmt numFmtId="166" formatCode="0.0"/>
    <numFmt numFmtId="167" formatCode="#,##0.00000"/>
    <numFmt numFmtId="168" formatCode="#,##0.0"/>
    <numFmt numFmtId="169" formatCode="#,##0.000"/>
    <numFmt numFmtId="170" formatCode="#,##0.00;\-#,##0.00;#,&quot;-&quot;"/>
    <numFmt numFmtId="171" formatCode="_-* #,##0.00&quot;₴&quot;_-;\-* #,##0.00&quot;₴&quot;_-;_-* &quot;-&quot;??&quot;₴&quot;_-;_-@_-"/>
    <numFmt numFmtId="172" formatCode="#,##0.0_ ;\-#,##0.0\ "/>
  </numFmts>
  <fonts count="127" x14ac:knownFonts="1">
    <font>
      <sz val="11"/>
      <color theme="1"/>
      <name val="Calibri"/>
      <family val="2"/>
      <charset val="204"/>
      <scheme val="minor"/>
    </font>
    <font>
      <sz val="10"/>
      <color theme="1"/>
      <name val="Calibri"/>
      <family val="2"/>
      <charset val="204"/>
      <scheme val="minor"/>
    </font>
    <font>
      <sz val="10"/>
      <color theme="1"/>
      <name val="Calibri"/>
      <family val="2"/>
      <charset val="204"/>
      <scheme val="minor"/>
    </font>
    <font>
      <sz val="10"/>
      <color theme="1"/>
      <name val="Calibri"/>
      <family val="2"/>
      <charset val="204"/>
      <scheme val="minor"/>
    </font>
    <font>
      <sz val="11"/>
      <color theme="1"/>
      <name val="Calibri"/>
      <family val="2"/>
      <charset val="204"/>
      <scheme val="minor"/>
    </font>
    <font>
      <sz val="10"/>
      <color theme="1"/>
      <name val="Calibri"/>
      <family val="2"/>
      <charset val="204"/>
      <scheme val="minor"/>
    </font>
    <font>
      <sz val="10"/>
      <color theme="1"/>
      <name val="Times New Roman"/>
      <family val="1"/>
      <charset val="204"/>
    </font>
    <font>
      <sz val="12"/>
      <color theme="1"/>
      <name val="Times New Roman"/>
      <family val="1"/>
      <charset val="204"/>
    </font>
    <font>
      <b/>
      <sz val="10"/>
      <color theme="1"/>
      <name val="Times New Roman"/>
      <family val="1"/>
      <charset val="204"/>
    </font>
    <font>
      <sz val="10"/>
      <name val="Arial Cyr"/>
      <charset val="204"/>
    </font>
    <font>
      <sz val="10"/>
      <name val="Times New Roman"/>
      <family val="1"/>
      <charset val="204"/>
    </font>
    <font>
      <sz val="8"/>
      <color theme="1"/>
      <name val="Times New Roman"/>
      <family val="1"/>
      <charset val="204"/>
    </font>
    <font>
      <b/>
      <u/>
      <sz val="10"/>
      <color theme="1"/>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sz val="11"/>
      <color indexed="17"/>
      <name val="Calibri"/>
      <family val="2"/>
      <charset val="204"/>
    </font>
    <font>
      <sz val="10"/>
      <name val="Courier New"/>
      <family val="3"/>
      <charset val="204"/>
    </font>
    <font>
      <sz val="10"/>
      <color indexed="8"/>
      <name val="Arial"/>
      <family val="2"/>
      <charset val="204"/>
    </font>
    <font>
      <sz val="11"/>
      <color indexed="10"/>
      <name val="Calibri"/>
      <family val="2"/>
      <charset val="204"/>
    </font>
    <font>
      <b/>
      <sz val="11"/>
      <color indexed="9"/>
      <name val="Calibri"/>
      <family val="2"/>
      <charset val="204"/>
    </font>
    <font>
      <b/>
      <sz val="18"/>
      <color indexed="62"/>
      <name val="Cambria"/>
      <family val="2"/>
      <charset val="204"/>
    </font>
    <font>
      <b/>
      <sz val="11"/>
      <color indexed="10"/>
      <name val="Calibri"/>
      <family val="2"/>
      <charset val="204"/>
    </font>
    <font>
      <sz val="12"/>
      <name val="Bookman Old Style"/>
      <family val="1"/>
      <charset val="204"/>
    </font>
    <font>
      <b/>
      <sz val="11"/>
      <color indexed="8"/>
      <name val="Calibri"/>
      <family val="2"/>
      <charset val="204"/>
    </font>
    <font>
      <sz val="11"/>
      <color indexed="20"/>
      <name val="Calibri"/>
      <family val="2"/>
      <charset val="204"/>
    </font>
    <font>
      <b/>
      <sz val="11"/>
      <color indexed="63"/>
      <name val="Calibri"/>
      <family val="2"/>
      <charset val="204"/>
    </font>
    <font>
      <sz val="11"/>
      <color indexed="19"/>
      <name val="Calibri"/>
      <family val="2"/>
      <charset val="204"/>
    </font>
    <font>
      <sz val="10"/>
      <name val="Helv"/>
      <charset val="204"/>
    </font>
    <font>
      <i/>
      <sz val="11"/>
      <color indexed="23"/>
      <name val="Calibri"/>
      <family val="2"/>
      <charset val="204"/>
    </font>
    <font>
      <sz val="12"/>
      <color indexed="8"/>
      <name val="Times New Roman"/>
      <family val="1"/>
      <charset val="204"/>
    </font>
    <font>
      <sz val="8"/>
      <color indexed="8"/>
      <name val="Times New Roman"/>
      <family val="1"/>
      <charset val="204"/>
    </font>
    <font>
      <sz val="8"/>
      <color indexed="8"/>
      <name val="Arial"/>
      <family val="2"/>
      <charset val="204"/>
    </font>
    <font>
      <sz val="14"/>
      <color indexed="8"/>
      <name val="Times New Roman"/>
      <family val="1"/>
      <charset val="204"/>
    </font>
    <font>
      <sz val="12"/>
      <name val="Times New Roman"/>
      <family val="1"/>
      <charset val="204"/>
    </font>
    <font>
      <sz val="12"/>
      <color rgb="FFFF0000"/>
      <name val="Times New Roman"/>
      <family val="1"/>
      <charset val="204"/>
    </font>
    <font>
      <b/>
      <sz val="12"/>
      <color indexed="8"/>
      <name val="Times New Roman"/>
      <family val="1"/>
      <charset val="204"/>
    </font>
    <font>
      <b/>
      <sz val="14"/>
      <color indexed="8"/>
      <name val="Times New Roman"/>
      <family val="1"/>
      <charset val="204"/>
    </font>
    <font>
      <b/>
      <sz val="10"/>
      <color indexed="8"/>
      <name val="Arial"/>
      <family val="2"/>
      <charset val="204"/>
    </font>
    <font>
      <sz val="10"/>
      <color indexed="8"/>
      <name val="Times New Roman"/>
      <family val="1"/>
      <charset val="204"/>
    </font>
    <font>
      <sz val="10"/>
      <color indexed="10"/>
      <name val="Arial Cyr"/>
      <charset val="204"/>
    </font>
    <font>
      <b/>
      <sz val="10"/>
      <color indexed="10"/>
      <name val="Arial"/>
      <family val="2"/>
      <charset val="204"/>
    </font>
    <font>
      <b/>
      <sz val="12"/>
      <name val="Times New Roman"/>
      <family val="1"/>
      <charset val="204"/>
    </font>
    <font>
      <b/>
      <sz val="10"/>
      <name val="Times New Roman"/>
      <family val="1"/>
      <charset val="204"/>
    </font>
    <font>
      <b/>
      <sz val="10"/>
      <name val="Arial"/>
      <family val="2"/>
      <charset val="204"/>
    </font>
    <font>
      <b/>
      <sz val="16"/>
      <name val="Times New Roman"/>
      <family val="1"/>
      <charset val="204"/>
    </font>
    <font>
      <u/>
      <sz val="14"/>
      <name val="Times New Roman"/>
      <family val="1"/>
      <charset val="204"/>
    </font>
    <font>
      <sz val="9"/>
      <color indexed="8"/>
      <name val="Arial"/>
      <family val="2"/>
      <charset val="204"/>
    </font>
    <font>
      <b/>
      <sz val="12"/>
      <name val="Times New Roman Cyr"/>
      <family val="1"/>
      <charset val="204"/>
    </font>
    <font>
      <b/>
      <sz val="11"/>
      <name val="Times New Roman Cyr"/>
      <family val="1"/>
      <charset val="204"/>
    </font>
    <font>
      <sz val="14"/>
      <name val="Times New Roman Cyr"/>
      <family val="1"/>
      <charset val="204"/>
    </font>
    <font>
      <sz val="10"/>
      <name val="Times New Roman Cyr"/>
      <family val="1"/>
      <charset val="204"/>
    </font>
    <font>
      <b/>
      <sz val="10"/>
      <name val="Times New Roman Cyr"/>
      <family val="1"/>
      <charset val="204"/>
    </font>
    <font>
      <b/>
      <sz val="10"/>
      <name val="Times New Roman Cyr"/>
      <charset val="204"/>
    </font>
    <font>
      <b/>
      <i/>
      <sz val="10"/>
      <name val="Times New Roman Cyr"/>
      <charset val="204"/>
    </font>
    <font>
      <i/>
      <sz val="10"/>
      <name val="Times New Roman Cyr"/>
      <charset val="204"/>
    </font>
    <font>
      <b/>
      <i/>
      <sz val="20"/>
      <name val="Times New Roman CYR"/>
      <charset val="204"/>
    </font>
    <font>
      <b/>
      <sz val="16"/>
      <name val="Times New Roman Cyr"/>
      <charset val="204"/>
    </font>
    <font>
      <sz val="16"/>
      <name val="Times New Roman Cyr"/>
      <family val="1"/>
      <charset val="204"/>
    </font>
    <font>
      <b/>
      <sz val="14"/>
      <name val="Times New Roman CYR"/>
      <charset val="204"/>
    </font>
    <font>
      <sz val="10"/>
      <color indexed="10"/>
      <name val="Times New Roman"/>
      <family val="1"/>
      <charset val="204"/>
    </font>
    <font>
      <b/>
      <sz val="14"/>
      <name val="Times New Roman"/>
      <family val="1"/>
      <charset val="204"/>
    </font>
    <font>
      <sz val="8"/>
      <name val="Times New Roman"/>
      <family val="1"/>
      <charset val="204"/>
    </font>
    <font>
      <sz val="9"/>
      <name val="Times New Roman"/>
      <family val="1"/>
      <charset val="204"/>
    </font>
    <font>
      <sz val="8"/>
      <name val="Arial Cyr"/>
      <charset val="204"/>
    </font>
    <font>
      <i/>
      <sz val="9"/>
      <name val="Times New Roman"/>
      <family val="1"/>
      <charset val="204"/>
    </font>
    <font>
      <sz val="9"/>
      <name val="Arial Cyr"/>
      <charset val="204"/>
    </font>
    <font>
      <b/>
      <sz val="11"/>
      <name val="Times New Roman"/>
      <family val="1"/>
      <charset val="204"/>
    </font>
    <font>
      <b/>
      <sz val="11"/>
      <color indexed="8"/>
      <name val="Times New Roman"/>
      <family val="1"/>
      <charset val="204"/>
    </font>
    <font>
      <b/>
      <sz val="12"/>
      <color indexed="10"/>
      <name val="Times New Roman"/>
      <family val="1"/>
      <charset val="204"/>
    </font>
    <font>
      <sz val="12"/>
      <color indexed="10"/>
      <name val="Times New Roman"/>
      <family val="1"/>
      <charset val="204"/>
    </font>
    <font>
      <sz val="12"/>
      <color indexed="8"/>
      <name val="Times New Roman Cyr"/>
      <charset val="204"/>
    </font>
    <font>
      <sz val="12"/>
      <name val="Times New Roman CYR"/>
      <charset val="204"/>
    </font>
    <font>
      <b/>
      <sz val="13.5"/>
      <color indexed="8"/>
      <name val="Times New Roman"/>
      <family val="1"/>
      <charset val="204"/>
    </font>
    <font>
      <sz val="12"/>
      <color theme="1"/>
      <name val="Calibri"/>
      <family val="2"/>
      <charset val="204"/>
      <scheme val="minor"/>
    </font>
    <font>
      <b/>
      <sz val="12"/>
      <color theme="1"/>
      <name val="Times New Roman"/>
      <family val="1"/>
      <charset val="204"/>
    </font>
    <font>
      <b/>
      <u/>
      <sz val="12"/>
      <color theme="1"/>
      <name val="Times New Roman"/>
      <family val="1"/>
      <charset val="204"/>
    </font>
    <font>
      <b/>
      <sz val="10"/>
      <name val="Arial Cyr"/>
      <charset val="204"/>
    </font>
    <font>
      <sz val="11"/>
      <name val="Times New Roman"/>
      <family val="1"/>
      <charset val="204"/>
    </font>
    <font>
      <b/>
      <i/>
      <sz val="12"/>
      <color theme="1"/>
      <name val="Times New Roman"/>
      <family val="1"/>
      <charset val="204"/>
    </font>
    <font>
      <b/>
      <i/>
      <sz val="10"/>
      <name val="Arial Cyr"/>
      <charset val="204"/>
    </font>
    <font>
      <sz val="12"/>
      <name val="Arial Cyr"/>
      <charset val="204"/>
    </font>
    <font>
      <sz val="10"/>
      <color rgb="FFFF0000"/>
      <name val="Times New Roman"/>
      <family val="1"/>
      <charset val="204"/>
    </font>
    <font>
      <b/>
      <u/>
      <sz val="14"/>
      <color indexed="8"/>
      <name val="Times New Roman"/>
      <family val="1"/>
      <charset val="204"/>
    </font>
    <font>
      <b/>
      <sz val="8"/>
      <color indexed="8"/>
      <name val="Times New Roman"/>
      <family val="1"/>
      <charset val="204"/>
    </font>
    <font>
      <vertAlign val="superscript"/>
      <sz val="8"/>
      <name val="Times New Roman"/>
      <family val="1"/>
      <charset val="204"/>
    </font>
    <font>
      <b/>
      <sz val="14"/>
      <color theme="1"/>
      <name val="Times New Roman"/>
      <family val="1"/>
      <charset val="204"/>
    </font>
    <font>
      <b/>
      <u/>
      <sz val="12"/>
      <color indexed="8"/>
      <name val="Times New Roman"/>
      <family val="1"/>
      <charset val="204"/>
    </font>
    <font>
      <sz val="12"/>
      <color rgb="FF333333"/>
      <name val="Times New Roman"/>
      <family val="1"/>
      <charset val="204"/>
    </font>
    <font>
      <b/>
      <sz val="13"/>
      <name val="Times New Roman Cyr"/>
      <family val="1"/>
      <charset val="204"/>
    </font>
    <font>
      <sz val="13"/>
      <name val="Times New Roman Cyr"/>
      <family val="1"/>
      <charset val="204"/>
    </font>
    <font>
      <b/>
      <i/>
      <sz val="13"/>
      <name val="Times New Roman Cyr"/>
      <family val="1"/>
      <charset val="204"/>
    </font>
    <font>
      <i/>
      <sz val="13"/>
      <name val="Times New Roman Cyr"/>
      <family val="1"/>
      <charset val="204"/>
    </font>
    <font>
      <sz val="8"/>
      <color indexed="10"/>
      <name val="Times New Roman"/>
      <family val="1"/>
      <charset val="204"/>
    </font>
    <font>
      <vertAlign val="superscript"/>
      <sz val="12"/>
      <name val="Times New Roman"/>
      <family val="1"/>
      <charset val="204"/>
    </font>
    <font>
      <sz val="12"/>
      <color rgb="FF7030A0"/>
      <name val="Times New Roman"/>
      <family val="1"/>
      <charset val="204"/>
    </font>
    <font>
      <vertAlign val="superscript"/>
      <sz val="12"/>
      <color indexed="8"/>
      <name val="Times New Roman"/>
      <family val="1"/>
      <charset val="204"/>
    </font>
    <font>
      <b/>
      <u/>
      <sz val="10"/>
      <color indexed="8"/>
      <name val="Times New Roman"/>
      <family val="1"/>
      <charset val="204"/>
    </font>
    <font>
      <u/>
      <sz val="10"/>
      <color indexed="8"/>
      <name val="Times New Roman"/>
      <family val="1"/>
      <charset val="204"/>
    </font>
    <font>
      <sz val="11.5"/>
      <color theme="1"/>
      <name val="Times New Roman"/>
      <family val="1"/>
      <charset val="204"/>
    </font>
    <font>
      <sz val="11.5"/>
      <color indexed="8"/>
      <name val="Times New Roman"/>
      <family val="1"/>
      <charset val="204"/>
    </font>
    <font>
      <b/>
      <sz val="11.5"/>
      <color theme="1"/>
      <name val="Times New Roman"/>
      <family val="1"/>
      <charset val="204"/>
    </font>
    <font>
      <b/>
      <u/>
      <sz val="11.5"/>
      <color theme="1"/>
      <name val="Times New Roman"/>
      <family val="1"/>
      <charset val="204"/>
    </font>
    <font>
      <sz val="11.5"/>
      <name val="Times New Roman"/>
      <family val="1"/>
      <charset val="204"/>
    </font>
    <font>
      <b/>
      <sz val="11.5"/>
      <name val="Times New Roman"/>
      <family val="1"/>
      <charset val="204"/>
    </font>
    <font>
      <i/>
      <sz val="11.5"/>
      <color theme="1"/>
      <name val="Times New Roman"/>
      <family val="1"/>
      <charset val="204"/>
    </font>
    <font>
      <sz val="11.5"/>
      <color theme="1"/>
      <name val="Calibri"/>
      <family val="2"/>
      <charset val="204"/>
      <scheme val="minor"/>
    </font>
    <font>
      <sz val="12"/>
      <color rgb="FF0070C0"/>
      <name val="Times New Roman"/>
      <family val="1"/>
      <charset val="204"/>
    </font>
    <font>
      <sz val="12"/>
      <color theme="4"/>
      <name val="Times New Roman"/>
      <family val="1"/>
      <charset val="204"/>
    </font>
    <font>
      <sz val="12"/>
      <color rgb="FF00B050"/>
      <name val="Times New Roman"/>
      <family val="1"/>
      <charset val="204"/>
    </font>
    <font>
      <sz val="10"/>
      <color rgb="FF333333"/>
      <name val="Times New Roman"/>
      <family val="1"/>
      <charset val="204"/>
    </font>
    <font>
      <sz val="16"/>
      <name val="Times New Roman Cyr"/>
      <charset val="204"/>
    </font>
    <font>
      <b/>
      <sz val="10"/>
      <color indexed="8"/>
      <name val="Times New Roman"/>
      <family val="1"/>
      <charset val="204"/>
    </font>
    <font>
      <sz val="11"/>
      <color indexed="8"/>
      <name val="Times New Roman"/>
      <family val="1"/>
      <charset val="204"/>
    </font>
    <font>
      <sz val="12"/>
      <color theme="9" tint="-0.499984740745262"/>
      <name val="Times New Roman"/>
      <family val="1"/>
      <charset val="204"/>
    </font>
    <font>
      <sz val="12"/>
      <color theme="9" tint="-0.499984740745262"/>
      <name val="Arial Cyr"/>
      <charset val="204"/>
    </font>
    <font>
      <sz val="13"/>
      <name val="Times New Roman Cyr"/>
      <charset val="204"/>
    </font>
    <font>
      <sz val="12"/>
      <color rgb="FF7030A0"/>
      <name val="Arial Cyr"/>
      <charset val="204"/>
    </font>
    <font>
      <b/>
      <sz val="12"/>
      <color rgb="FF0070C0"/>
      <name val="Times New Roman"/>
      <family val="1"/>
      <charset val="204"/>
    </font>
    <font>
      <sz val="10"/>
      <color rgb="FFFF0000"/>
      <name val="Arial"/>
      <family val="2"/>
      <charset val="204"/>
    </font>
    <font>
      <sz val="11"/>
      <color rgb="FF333333"/>
      <name val="Times New Roman"/>
      <family val="1"/>
      <charset val="204"/>
    </font>
    <font>
      <b/>
      <sz val="10"/>
      <color rgb="FF333333"/>
      <name val="Times New Roman"/>
      <family val="1"/>
      <charset val="204"/>
    </font>
    <font>
      <vertAlign val="superscript"/>
      <sz val="12"/>
      <color theme="1"/>
      <name val="Times New Roman"/>
      <family val="1"/>
      <charset val="204"/>
    </font>
    <font>
      <b/>
      <sz val="12"/>
      <color rgb="FF7030A0"/>
      <name val="Times New Roman"/>
      <family val="1"/>
      <charset val="204"/>
    </font>
    <font>
      <sz val="10"/>
      <name val="Arial"/>
      <family val="2"/>
      <charset val="204"/>
    </font>
    <font>
      <b/>
      <sz val="10"/>
      <color rgb="FF0070C0"/>
      <name val="Times New Roman"/>
      <family val="1"/>
      <charset val="204"/>
    </font>
    <font>
      <b/>
      <sz val="12"/>
      <color rgb="FFFF0000"/>
      <name val="Times New Roman"/>
      <family val="1"/>
      <charset val="204"/>
    </font>
  </fonts>
  <fills count="23">
    <fill>
      <patternFill patternType="none"/>
    </fill>
    <fill>
      <patternFill patternType="gray125"/>
    </fill>
    <fill>
      <patternFill patternType="solid">
        <fgColor theme="0"/>
        <bgColor indexed="64"/>
      </patternFill>
    </fill>
    <fill>
      <patternFill patternType="solid">
        <fgColor indexed="9"/>
        <bgColor indexed="64"/>
      </patternFill>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9"/>
      </patternFill>
    </fill>
    <fill>
      <patternFill patternType="solid">
        <fgColor indexed="46"/>
      </patternFill>
    </fill>
    <fill>
      <patternFill patternType="solid">
        <fgColor indexed="13"/>
        <bgColor indexed="64"/>
      </patternFill>
    </fill>
    <fill>
      <patternFill patternType="solid">
        <fgColor rgb="FFFFFFFF"/>
        <bgColor indexed="64"/>
      </patternFill>
    </fill>
    <fill>
      <patternFill patternType="solid">
        <fgColor rgb="FFFFFF00"/>
        <bgColor indexed="64"/>
      </patternFill>
    </fill>
  </fills>
  <borders count="77">
    <border>
      <left/>
      <right/>
      <top/>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23"/>
      </left>
      <right style="thin">
        <color indexed="23"/>
      </right>
      <top style="thin">
        <color indexed="23"/>
      </top>
      <bottom style="thin">
        <color indexed="23"/>
      </bottom>
      <diagonal/>
    </border>
    <border>
      <left/>
      <right/>
      <top/>
      <bottom style="double">
        <color indexed="10"/>
      </bottom>
      <diagonal/>
    </border>
    <border>
      <left style="double">
        <color indexed="63"/>
      </left>
      <right style="double">
        <color indexed="63"/>
      </right>
      <top style="double">
        <color indexed="63"/>
      </top>
      <bottom style="double">
        <color indexed="63"/>
      </bottom>
      <diagonal/>
    </border>
    <border>
      <left/>
      <right/>
      <top style="thin">
        <color indexed="56"/>
      </top>
      <bottom style="double">
        <color indexed="56"/>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0"/>
      </right>
      <top style="medium">
        <color indexed="64"/>
      </top>
      <bottom style="medium">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medium">
        <color indexed="64"/>
      </top>
      <bottom style="medium">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bottom/>
      <diagonal/>
    </border>
    <border>
      <left style="medium">
        <color rgb="FF000000"/>
      </left>
      <right/>
      <top/>
      <bottom/>
      <diagonal/>
    </border>
  </borders>
  <cellStyleXfs count="91">
    <xf numFmtId="0" fontId="0" fillId="0" borderId="0"/>
    <xf numFmtId="0" fontId="5" fillId="0" borderId="0"/>
    <xf numFmtId="0" fontId="9" fillId="0" borderId="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3" fillId="8" borderId="0" applyNumberFormat="0" applyBorder="0" applyAlignment="0" applyProtection="0"/>
    <xf numFmtId="0" fontId="13" fillId="5"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8" borderId="0" applyNumberFormat="0" applyBorder="0" applyAlignment="0" applyProtection="0"/>
    <xf numFmtId="0" fontId="13" fillId="6"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0" borderId="0" applyNumberFormat="0" applyBorder="0" applyAlignment="0" applyProtection="0"/>
    <xf numFmtId="0" fontId="14" fillId="8" borderId="0" applyNumberFormat="0" applyBorder="0" applyAlignment="0" applyProtection="0"/>
    <xf numFmtId="0" fontId="14" fillId="5" borderId="0" applyNumberFormat="0" applyBorder="0" applyAlignment="0" applyProtection="0"/>
    <xf numFmtId="0" fontId="9" fillId="0" borderId="0"/>
    <xf numFmtId="0" fontId="14" fillId="13" borderId="0" applyNumberFormat="0" applyBorder="0" applyAlignment="0" applyProtection="0"/>
    <xf numFmtId="0" fontId="14" fillId="11" borderId="0" applyNumberFormat="0" applyBorder="0" applyAlignment="0" applyProtection="0"/>
    <xf numFmtId="0" fontId="14" fillId="12"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5" fillId="9" borderId="11" applyNumberFormat="0" applyAlignment="0" applyProtection="0"/>
    <xf numFmtId="0" fontId="16" fillId="8" borderId="0" applyNumberFormat="0" applyBorder="0" applyAlignment="0" applyProtection="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9" fillId="0" borderId="0"/>
    <xf numFmtId="0" fontId="17" fillId="0" borderId="0"/>
    <xf numFmtId="0" fontId="9" fillId="0" borderId="0"/>
    <xf numFmtId="0" fontId="9" fillId="0" borderId="0"/>
    <xf numFmtId="0" fontId="17" fillId="0" borderId="0"/>
    <xf numFmtId="0" fontId="17" fillId="0" borderId="0"/>
    <xf numFmtId="0" fontId="17" fillId="0" borderId="0"/>
    <xf numFmtId="0" fontId="17" fillId="0" borderId="0"/>
    <xf numFmtId="0" fontId="17" fillId="0" borderId="0"/>
    <xf numFmtId="0" fontId="18" fillId="0" borderId="0">
      <alignment vertical="top"/>
    </xf>
    <xf numFmtId="0" fontId="19" fillId="0" borderId="12" applyNumberFormat="0" applyFill="0" applyAlignment="0" applyProtection="0"/>
    <xf numFmtId="0" fontId="20" fillId="17" borderId="13" applyNumberFormat="0" applyAlignment="0" applyProtection="0"/>
    <xf numFmtId="0" fontId="21" fillId="0" borderId="0" applyNumberFormat="0" applyFill="0" applyBorder="0" applyAlignment="0" applyProtection="0"/>
    <xf numFmtId="0" fontId="22" fillId="18" borderId="11" applyNumberFormat="0" applyAlignment="0" applyProtection="0"/>
    <xf numFmtId="0" fontId="5" fillId="0" borderId="0"/>
    <xf numFmtId="0" fontId="4" fillId="0" borderId="0"/>
    <xf numFmtId="0" fontId="4" fillId="0" borderId="0"/>
    <xf numFmtId="0" fontId="10" fillId="0" borderId="0"/>
    <xf numFmtId="0" fontId="18" fillId="0" borderId="0"/>
    <xf numFmtId="0" fontId="18" fillId="0" borderId="0"/>
    <xf numFmtId="0" fontId="23" fillId="0" borderId="0"/>
    <xf numFmtId="0" fontId="5" fillId="0" borderId="0"/>
    <xf numFmtId="0" fontId="5" fillId="0" borderId="0"/>
    <xf numFmtId="0" fontId="5" fillId="0" borderId="0"/>
    <xf numFmtId="0" fontId="5" fillId="0" borderId="0"/>
    <xf numFmtId="0" fontId="24" fillId="0" borderId="14" applyNumberFormat="0" applyFill="0" applyAlignment="0" applyProtection="0"/>
    <xf numFmtId="0" fontId="25" fillId="19" borderId="0" applyNumberFormat="0" applyBorder="0" applyAlignment="0" applyProtection="0"/>
    <xf numFmtId="0" fontId="10" fillId="6" borderId="15" applyNumberFormat="0" applyFont="0" applyAlignment="0" applyProtection="0"/>
    <xf numFmtId="0" fontId="26" fillId="18" borderId="16" applyNumberFormat="0" applyAlignment="0" applyProtection="0"/>
    <xf numFmtId="0" fontId="27" fillId="9" borderId="0" applyNumberFormat="0" applyBorder="0" applyAlignment="0" applyProtection="0"/>
    <xf numFmtId="0" fontId="28" fillId="0" borderId="0"/>
    <xf numFmtId="0" fontId="19" fillId="0" borderId="0" applyNumberFormat="0" applyFill="0" applyBorder="0" applyAlignment="0" applyProtection="0"/>
    <xf numFmtId="0" fontId="29" fillId="0" borderId="0" applyNumberFormat="0" applyFill="0" applyBorder="0" applyAlignment="0" applyProtection="0"/>
    <xf numFmtId="0" fontId="10" fillId="0" borderId="0"/>
    <xf numFmtId="0" fontId="3" fillId="0" borderId="0"/>
    <xf numFmtId="0" fontId="2" fillId="0" borderId="0"/>
    <xf numFmtId="0" fontId="1" fillId="0" borderId="0"/>
    <xf numFmtId="0" fontId="1" fillId="0" borderId="0"/>
    <xf numFmtId="171" fontId="13"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35">
    <xf numFmtId="0" fontId="0" fillId="0" borderId="0" xfId="0"/>
    <xf numFmtId="0" fontId="30" fillId="0" borderId="0" xfId="58" applyFont="1"/>
    <xf numFmtId="0" fontId="31" fillId="0" borderId="0" xfId="58" applyFont="1"/>
    <xf numFmtId="0" fontId="33" fillId="0" borderId="0" xfId="58" applyFont="1" applyAlignment="1">
      <alignment horizontal="center"/>
    </xf>
    <xf numFmtId="0" fontId="30" fillId="0" borderId="0" xfId="58" applyFont="1" applyAlignment="1"/>
    <xf numFmtId="0" fontId="34" fillId="2" borderId="0" xfId="58" applyFont="1" applyFill="1" applyAlignment="1"/>
    <xf numFmtId="0" fontId="36" fillId="0" borderId="0" xfId="58" applyFont="1" applyFill="1" applyBorder="1" applyAlignment="1">
      <alignment horizontal="center" vertical="center" wrapText="1"/>
    </xf>
    <xf numFmtId="0" fontId="36" fillId="0" borderId="22" xfId="58" applyFont="1" applyFill="1" applyBorder="1" applyAlignment="1">
      <alignment horizontal="left" vertical="center" wrapText="1"/>
    </xf>
    <xf numFmtId="1" fontId="38" fillId="0" borderId="0" xfId="58" applyNumberFormat="1" applyFont="1"/>
    <xf numFmtId="0" fontId="38" fillId="0" borderId="0" xfId="58" applyFont="1"/>
    <xf numFmtId="0" fontId="36" fillId="0" borderId="24" xfId="58" applyFont="1" applyFill="1" applyBorder="1" applyAlignment="1">
      <alignment horizontal="left" vertical="center" wrapText="1"/>
    </xf>
    <xf numFmtId="0" fontId="36" fillId="0" borderId="5" xfId="58" applyFont="1" applyFill="1" applyBorder="1" applyAlignment="1">
      <alignment horizontal="left" vertical="center" wrapText="1"/>
    </xf>
    <xf numFmtId="166" fontId="38" fillId="0" borderId="0" xfId="58" applyNumberFormat="1" applyFont="1"/>
    <xf numFmtId="0" fontId="30" fillId="0" borderId="5" xfId="58" applyFont="1" applyFill="1" applyBorder="1" applyAlignment="1">
      <alignment horizontal="left" vertical="center" wrapText="1"/>
    </xf>
    <xf numFmtId="0" fontId="39" fillId="0" borderId="0" xfId="58" applyFont="1"/>
    <xf numFmtId="0" fontId="18" fillId="0" borderId="0" xfId="58"/>
    <xf numFmtId="2" fontId="38" fillId="0" borderId="0" xfId="58" applyNumberFormat="1" applyFont="1"/>
    <xf numFmtId="0" fontId="30" fillId="0" borderId="7" xfId="58" applyFont="1" applyFill="1" applyBorder="1" applyAlignment="1">
      <alignment horizontal="left" vertical="center" wrapText="1"/>
    </xf>
    <xf numFmtId="1" fontId="18" fillId="0" borderId="0" xfId="58" applyNumberFormat="1"/>
    <xf numFmtId="0" fontId="36" fillId="0" borderId="7" xfId="58" applyFont="1" applyFill="1" applyBorder="1" applyAlignment="1">
      <alignment horizontal="left" vertical="center" wrapText="1"/>
    </xf>
    <xf numFmtId="0" fontId="38" fillId="0" borderId="0" xfId="2" applyFont="1" applyFill="1"/>
    <xf numFmtId="0" fontId="30" fillId="0" borderId="5" xfId="2" applyFont="1" applyFill="1" applyBorder="1" applyAlignment="1">
      <alignment horizontal="left" vertical="center" wrapText="1"/>
    </xf>
    <xf numFmtId="0" fontId="9" fillId="0" borderId="0" xfId="2" applyFill="1"/>
    <xf numFmtId="0" fontId="40" fillId="0" borderId="0" xfId="2" applyFont="1" applyFill="1"/>
    <xf numFmtId="0" fontId="41" fillId="0" borderId="0" xfId="2" applyFont="1" applyFill="1"/>
    <xf numFmtId="0" fontId="44" fillId="0" borderId="0" xfId="2" applyFont="1" applyFill="1"/>
    <xf numFmtId="2" fontId="44" fillId="0" borderId="0" xfId="58" applyNumberFormat="1" applyFont="1"/>
    <xf numFmtId="0" fontId="9" fillId="0" borderId="0" xfId="2" applyFont="1" applyFill="1"/>
    <xf numFmtId="0" fontId="45" fillId="0" borderId="26" xfId="2" applyFont="1" applyFill="1" applyBorder="1" applyAlignment="1">
      <alignment horizontal="left" vertical="center"/>
    </xf>
    <xf numFmtId="0" fontId="39" fillId="0" borderId="0" xfId="58" applyFont="1" applyAlignment="1">
      <alignment wrapText="1"/>
    </xf>
    <xf numFmtId="0" fontId="47" fillId="0" borderId="0" xfId="58" applyFont="1"/>
    <xf numFmtId="1" fontId="47" fillId="0" borderId="0" xfId="58" applyNumberFormat="1" applyFont="1"/>
    <xf numFmtId="0" fontId="18" fillId="0" borderId="0" xfId="58" applyAlignment="1">
      <alignment wrapText="1"/>
    </xf>
    <xf numFmtId="0" fontId="48" fillId="0" borderId="0" xfId="2" applyFont="1" applyAlignment="1">
      <alignment vertical="center"/>
    </xf>
    <xf numFmtId="0" fontId="48" fillId="0" borderId="0" xfId="2" applyFont="1" applyAlignment="1">
      <alignment horizontal="left" vertical="center"/>
    </xf>
    <xf numFmtId="0" fontId="49" fillId="0" borderId="0" xfId="2" applyFont="1" applyAlignment="1">
      <alignment horizontal="center" vertical="center"/>
    </xf>
    <xf numFmtId="0" fontId="49" fillId="0" borderId="0" xfId="2" applyFont="1" applyAlignment="1">
      <alignment vertical="center"/>
    </xf>
    <xf numFmtId="0" fontId="50" fillId="0" borderId="0" xfId="2" applyFont="1" applyAlignment="1">
      <alignment vertical="center"/>
    </xf>
    <xf numFmtId="0" fontId="50" fillId="0" borderId="0" xfId="2" applyFont="1" applyAlignment="1">
      <alignment horizontal="left" vertical="center"/>
    </xf>
    <xf numFmtId="0" fontId="51" fillId="0" borderId="0" xfId="2" applyFont="1" applyAlignment="1">
      <alignment vertical="center"/>
    </xf>
    <xf numFmtId="0" fontId="52" fillId="0" borderId="0" xfId="2" applyFont="1" applyAlignment="1">
      <alignment vertical="center"/>
    </xf>
    <xf numFmtId="0" fontId="49" fillId="0" borderId="0" xfId="2" applyFont="1" applyBorder="1" applyAlignment="1">
      <alignment horizontal="center" vertical="center" wrapText="1"/>
    </xf>
    <xf numFmtId="0" fontId="52" fillId="0" borderId="0" xfId="2" applyFont="1" applyBorder="1" applyAlignment="1">
      <alignment horizontal="center" vertical="center" wrapText="1"/>
    </xf>
    <xf numFmtId="0" fontId="53" fillId="0" borderId="0" xfId="2" applyFont="1" applyBorder="1" applyAlignment="1">
      <alignment horizontal="center" vertical="center" wrapText="1"/>
    </xf>
    <xf numFmtId="0" fontId="53" fillId="0" borderId="0" xfId="2" applyFont="1" applyAlignment="1">
      <alignment vertical="center"/>
    </xf>
    <xf numFmtId="0" fontId="54" fillId="0" borderId="0" xfId="2" applyFont="1" applyBorder="1" applyAlignment="1">
      <alignment horizontal="center" vertical="center" wrapText="1"/>
    </xf>
    <xf numFmtId="0" fontId="54" fillId="0" borderId="0" xfId="2" applyFont="1" applyAlignment="1">
      <alignment vertical="center"/>
    </xf>
    <xf numFmtId="0" fontId="55" fillId="0" borderId="0" xfId="2" applyFont="1" applyBorder="1" applyAlignment="1">
      <alignment horizontal="center" vertical="center" wrapText="1"/>
    </xf>
    <xf numFmtId="0" fontId="55" fillId="0" borderId="0" xfId="2" applyFont="1" applyAlignment="1">
      <alignment vertical="center"/>
    </xf>
    <xf numFmtId="169" fontId="52" fillId="0" borderId="0" xfId="2" applyNumberFormat="1" applyFont="1" applyBorder="1" applyAlignment="1">
      <alignment horizontal="center" vertical="center" wrapText="1"/>
    </xf>
    <xf numFmtId="169" fontId="54" fillId="0" borderId="0" xfId="2" applyNumberFormat="1" applyFont="1" applyBorder="1" applyAlignment="1">
      <alignment horizontal="center" vertical="center" wrapText="1"/>
    </xf>
    <xf numFmtId="169" fontId="54" fillId="0" borderId="0" xfId="2" applyNumberFormat="1" applyFont="1" applyFill="1" applyBorder="1" applyAlignment="1">
      <alignment horizontal="center" vertical="center" wrapText="1"/>
    </xf>
    <xf numFmtId="0" fontId="52" fillId="0" borderId="0" xfId="2" applyFont="1" applyFill="1" applyAlignment="1">
      <alignment vertical="center"/>
    </xf>
    <xf numFmtId="167" fontId="56" fillId="0" borderId="0" xfId="2" applyNumberFormat="1" applyFont="1" applyFill="1" applyAlignment="1">
      <alignment vertical="center"/>
    </xf>
    <xf numFmtId="0" fontId="54" fillId="0" borderId="0" xfId="2" applyFont="1" applyFill="1" applyAlignment="1">
      <alignment vertical="center"/>
    </xf>
    <xf numFmtId="0" fontId="57" fillId="0" borderId="0" xfId="2" applyFont="1" applyBorder="1" applyAlignment="1">
      <alignment horizontal="center" vertical="center" wrapText="1"/>
    </xf>
    <xf numFmtId="0" fontId="57" fillId="0" borderId="0" xfId="2" applyFont="1" applyAlignment="1">
      <alignment vertical="center"/>
    </xf>
    <xf numFmtId="166" fontId="53" fillId="0" borderId="0" xfId="2" applyNumberFormat="1" applyFont="1" applyBorder="1" applyAlignment="1">
      <alignment horizontal="right" vertical="center"/>
    </xf>
    <xf numFmtId="166" fontId="54" fillId="0" borderId="0" xfId="2" applyNumberFormat="1" applyFont="1" applyBorder="1" applyAlignment="1">
      <alignment horizontal="right" vertical="center"/>
    </xf>
    <xf numFmtId="166" fontId="55" fillId="0" borderId="0" xfId="2" applyNumberFormat="1" applyFont="1" applyBorder="1" applyAlignment="1">
      <alignment horizontal="right" vertical="center"/>
    </xf>
    <xf numFmtId="166" fontId="52" fillId="0" borderId="0" xfId="2" applyNumberFormat="1" applyFont="1" applyBorder="1" applyAlignment="1">
      <alignment vertical="center"/>
    </xf>
    <xf numFmtId="166" fontId="54" fillId="0" borderId="0" xfId="2" applyNumberFormat="1" applyFont="1" applyBorder="1" applyAlignment="1">
      <alignment vertical="center"/>
    </xf>
    <xf numFmtId="166" fontId="51" fillId="0" borderId="0" xfId="2" applyNumberFormat="1" applyFont="1" applyBorder="1" applyAlignment="1">
      <alignment horizontal="right" vertical="center"/>
    </xf>
    <xf numFmtId="166" fontId="58" fillId="0" borderId="0" xfId="2" applyNumberFormat="1" applyFont="1" applyBorder="1" applyAlignment="1">
      <alignment horizontal="right" vertical="center"/>
    </xf>
    <xf numFmtId="0" fontId="58" fillId="0" borderId="0" xfId="2" applyFont="1" applyAlignment="1">
      <alignment vertical="center"/>
    </xf>
    <xf numFmtId="166" fontId="52" fillId="0" borderId="0" xfId="2" applyNumberFormat="1" applyFont="1" applyBorder="1" applyAlignment="1">
      <alignment horizontal="right" vertical="center"/>
    </xf>
    <xf numFmtId="0" fontId="59" fillId="0" borderId="0" xfId="2" applyFont="1" applyAlignment="1">
      <alignment vertical="center"/>
    </xf>
    <xf numFmtId="49" fontId="51" fillId="0" borderId="0" xfId="2" applyNumberFormat="1" applyFont="1" applyAlignment="1">
      <alignment horizontal="center" vertical="center"/>
    </xf>
    <xf numFmtId="0" fontId="51" fillId="0" borderId="0" xfId="2" applyFont="1" applyAlignment="1">
      <alignment horizontal="left" vertical="center" wrapText="1"/>
    </xf>
    <xf numFmtId="0" fontId="53" fillId="0" borderId="0" xfId="2" applyFont="1" applyAlignment="1">
      <alignment vertical="center" wrapText="1"/>
    </xf>
    <xf numFmtId="0" fontId="51" fillId="0" borderId="0" xfId="2" applyFont="1" applyAlignment="1">
      <alignment horizontal="left" vertical="center"/>
    </xf>
    <xf numFmtId="0" fontId="10" fillId="0" borderId="0" xfId="73" applyNumberFormat="1" applyFont="1" applyFill="1" applyAlignment="1" applyProtection="1"/>
    <xf numFmtId="0" fontId="10" fillId="0" borderId="0" xfId="73" applyNumberFormat="1" applyFont="1" applyFill="1" applyBorder="1" applyAlignment="1" applyProtection="1"/>
    <xf numFmtId="0" fontId="10" fillId="0" borderId="0" xfId="73" applyFont="1" applyFill="1" applyBorder="1"/>
    <xf numFmtId="0" fontId="10" fillId="0" borderId="0" xfId="73" applyFont="1" applyFill="1"/>
    <xf numFmtId="0" fontId="42" fillId="0" borderId="0" xfId="73" applyNumberFormat="1" applyFont="1" applyFill="1" applyBorder="1" applyAlignment="1" applyProtection="1">
      <alignment horizontal="left" vertical="top" wrapText="1"/>
    </xf>
    <xf numFmtId="0" fontId="10" fillId="3" borderId="48" xfId="73" applyNumberFormat="1" applyFont="1" applyFill="1" applyBorder="1" applyAlignment="1" applyProtection="1"/>
    <xf numFmtId="0" fontId="10" fillId="3" borderId="0" xfId="73" applyFont="1" applyFill="1"/>
    <xf numFmtId="0" fontId="10" fillId="3" borderId="51" xfId="73" applyNumberFormat="1" applyFont="1" applyFill="1" applyBorder="1" applyAlignment="1" applyProtection="1"/>
    <xf numFmtId="0" fontId="10" fillId="3" borderId="0" xfId="73" applyNumberFormat="1" applyFont="1" applyFill="1" applyBorder="1" applyAlignment="1" applyProtection="1"/>
    <xf numFmtId="0" fontId="10" fillId="3" borderId="0" xfId="73" applyNumberFormat="1" applyFont="1" applyFill="1" applyAlignment="1" applyProtection="1">
      <alignment vertical="center"/>
    </xf>
    <xf numFmtId="49" fontId="67" fillId="0" borderId="21" xfId="73" applyNumberFormat="1" applyFont="1" applyFill="1" applyBorder="1" applyAlignment="1">
      <alignment horizontal="center" vertical="center" wrapText="1"/>
    </xf>
    <xf numFmtId="49" fontId="67" fillId="0" borderId="22" xfId="73" applyNumberFormat="1" applyFont="1" applyFill="1" applyBorder="1" applyAlignment="1">
      <alignment horizontal="center" vertical="center" wrapText="1"/>
    </xf>
    <xf numFmtId="49" fontId="67" fillId="0" borderId="55" xfId="73" applyNumberFormat="1" applyFont="1" applyFill="1" applyBorder="1" applyAlignment="1">
      <alignment horizontal="center" vertical="center" wrapText="1"/>
    </xf>
    <xf numFmtId="0" fontId="67" fillId="0" borderId="21" xfId="73" applyFont="1" applyFill="1" applyBorder="1" applyAlignment="1">
      <alignment horizontal="center" vertical="center" wrapText="1"/>
    </xf>
    <xf numFmtId="1" fontId="68" fillId="0" borderId="22" xfId="49" applyNumberFormat="1" applyFont="1" applyFill="1" applyBorder="1" applyAlignment="1">
      <alignment vertical="center"/>
    </xf>
    <xf numFmtId="0" fontId="10" fillId="3" borderId="0" xfId="73" applyFont="1" applyFill="1" applyAlignment="1">
      <alignment vertical="center"/>
    </xf>
    <xf numFmtId="49" fontId="42" fillId="3" borderId="23" xfId="73" applyNumberFormat="1" applyFont="1" applyFill="1" applyBorder="1" applyAlignment="1">
      <alignment horizontal="center" vertical="center" wrapText="1"/>
    </xf>
    <xf numFmtId="49" fontId="42" fillId="3" borderId="24" xfId="73" applyNumberFormat="1" applyFont="1" applyFill="1" applyBorder="1" applyAlignment="1">
      <alignment horizontal="center" vertical="center" wrapText="1"/>
    </xf>
    <xf numFmtId="49" fontId="42" fillId="3" borderId="56" xfId="73" applyNumberFormat="1" applyFont="1" applyFill="1" applyBorder="1" applyAlignment="1">
      <alignment horizontal="center" vertical="center" wrapText="1"/>
    </xf>
    <xf numFmtId="0" fontId="10" fillId="3" borderId="0" xfId="73" applyNumberFormat="1" applyFont="1" applyFill="1" applyAlignment="1" applyProtection="1"/>
    <xf numFmtId="49" fontId="42" fillId="3" borderId="6" xfId="73" applyNumberFormat="1" applyFont="1" applyFill="1" applyBorder="1" applyAlignment="1">
      <alignment horizontal="center" vertical="center" wrapText="1"/>
    </xf>
    <xf numFmtId="49" fontId="42" fillId="3" borderId="5" xfId="73" applyNumberFormat="1" applyFont="1" applyFill="1" applyBorder="1" applyAlignment="1">
      <alignment horizontal="center" vertical="center" wrapText="1"/>
    </xf>
    <xf numFmtId="49" fontId="42" fillId="3" borderId="52" xfId="73" applyNumberFormat="1" applyFont="1" applyFill="1" applyBorder="1" applyAlignment="1">
      <alignment horizontal="center" vertical="center" wrapText="1"/>
    </xf>
    <xf numFmtId="0" fontId="34" fillId="3" borderId="6" xfId="73" applyFont="1" applyFill="1" applyBorder="1" applyAlignment="1">
      <alignment horizontal="left" vertical="center" wrapText="1"/>
    </xf>
    <xf numFmtId="49" fontId="34" fillId="3" borderId="5" xfId="73" applyNumberFormat="1" applyFont="1" applyFill="1" applyBorder="1" applyAlignment="1">
      <alignment horizontal="center" vertical="center" wrapText="1"/>
    </xf>
    <xf numFmtId="49" fontId="34" fillId="3" borderId="52" xfId="73" applyNumberFormat="1" applyFont="1" applyFill="1" applyBorder="1" applyAlignment="1">
      <alignment horizontal="center" vertical="center" wrapText="1"/>
    </xf>
    <xf numFmtId="49" fontId="42" fillId="2" borderId="6" xfId="73" applyNumberFormat="1" applyFont="1" applyFill="1" applyBorder="1" applyAlignment="1">
      <alignment horizontal="center" vertical="center" wrapText="1"/>
    </xf>
    <xf numFmtId="49" fontId="34" fillId="2" borderId="5" xfId="73" applyNumberFormat="1" applyFont="1" applyFill="1" applyBorder="1" applyAlignment="1">
      <alignment horizontal="center" vertical="center" wrapText="1"/>
    </xf>
    <xf numFmtId="49" fontId="34" fillId="2" borderId="52" xfId="73" applyNumberFormat="1" applyFont="1" applyFill="1" applyBorder="1" applyAlignment="1">
      <alignment horizontal="center" vertical="center" wrapText="1"/>
    </xf>
    <xf numFmtId="0" fontId="34" fillId="2" borderId="25" xfId="73" applyFont="1" applyFill="1" applyBorder="1" applyAlignment="1">
      <alignment horizontal="left" vertical="center" wrapText="1"/>
    </xf>
    <xf numFmtId="49" fontId="42" fillId="0" borderId="6" xfId="73" applyNumberFormat="1" applyFont="1" applyFill="1" applyBorder="1" applyAlignment="1">
      <alignment horizontal="center" vertical="center" wrapText="1"/>
    </xf>
    <xf numFmtId="49" fontId="34" fillId="0" borderId="52" xfId="73" applyNumberFormat="1" applyFont="1" applyFill="1" applyBorder="1" applyAlignment="1">
      <alignment horizontal="center" vertical="center" wrapText="1"/>
    </xf>
    <xf numFmtId="0" fontId="34" fillId="0" borderId="25" xfId="73" applyFont="1" applyFill="1" applyBorder="1" applyAlignment="1">
      <alignment horizontal="left" vertical="center" wrapText="1"/>
    </xf>
    <xf numFmtId="49" fontId="34" fillId="0" borderId="6" xfId="73" applyNumberFormat="1" applyFont="1" applyFill="1" applyBorder="1" applyAlignment="1">
      <alignment horizontal="center" vertical="center" wrapText="1"/>
    </xf>
    <xf numFmtId="0" fontId="34" fillId="0" borderId="6" xfId="73" applyFont="1" applyFill="1" applyBorder="1" applyAlignment="1">
      <alignment horizontal="left" vertical="center" wrapText="1"/>
    </xf>
    <xf numFmtId="0" fontId="42" fillId="0" borderId="6" xfId="73" applyFont="1" applyFill="1" applyBorder="1" applyAlignment="1">
      <alignment horizontal="left" vertical="center" wrapText="1"/>
    </xf>
    <xf numFmtId="49" fontId="34" fillId="3" borderId="6" xfId="73" applyNumberFormat="1" applyFont="1" applyFill="1" applyBorder="1" applyAlignment="1">
      <alignment horizontal="center" vertical="center" wrapText="1"/>
    </xf>
    <xf numFmtId="49" fontId="34" fillId="3" borderId="25" xfId="73" applyNumberFormat="1" applyFont="1" applyFill="1" applyBorder="1" applyAlignment="1">
      <alignment horizontal="center" vertical="center" wrapText="1"/>
    </xf>
    <xf numFmtId="0" fontId="34" fillId="3" borderId="25" xfId="73" applyFont="1" applyFill="1" applyBorder="1" applyAlignment="1">
      <alignment horizontal="center" vertical="center" wrapText="1"/>
    </xf>
    <xf numFmtId="1" fontId="30" fillId="3" borderId="6" xfId="49" applyNumberFormat="1" applyFont="1" applyFill="1" applyBorder="1" applyAlignment="1">
      <alignment horizontal="left" vertical="top"/>
    </xf>
    <xf numFmtId="0" fontId="34" fillId="3" borderId="6" xfId="73" applyFont="1" applyFill="1" applyBorder="1" applyAlignment="1">
      <alignment horizontal="center" vertical="center" wrapText="1"/>
    </xf>
    <xf numFmtId="49" fontId="70" fillId="3" borderId="6" xfId="73" applyNumberFormat="1" applyFont="1" applyFill="1" applyBorder="1" applyAlignment="1">
      <alignment horizontal="center" vertical="center" wrapText="1"/>
    </xf>
    <xf numFmtId="49" fontId="70" fillId="20" borderId="6" xfId="73" applyNumberFormat="1" applyFont="1" applyFill="1" applyBorder="1" applyAlignment="1">
      <alignment horizontal="center" vertical="center" wrapText="1"/>
    </xf>
    <xf numFmtId="49" fontId="34" fillId="20" borderId="5" xfId="73" applyNumberFormat="1" applyFont="1" applyFill="1" applyBorder="1" applyAlignment="1">
      <alignment horizontal="center" vertical="center" wrapText="1"/>
    </xf>
    <xf numFmtId="49" fontId="34" fillId="20" borderId="52" xfId="73" applyNumberFormat="1" applyFont="1" applyFill="1" applyBorder="1" applyAlignment="1">
      <alignment horizontal="center" vertical="center" wrapText="1"/>
    </xf>
    <xf numFmtId="0" fontId="34" fillId="20" borderId="6" xfId="73" applyFont="1" applyFill="1" applyBorder="1" applyAlignment="1">
      <alignment horizontal="center" vertical="center" wrapText="1"/>
    </xf>
    <xf numFmtId="1" fontId="10" fillId="3" borderId="0" xfId="73" applyNumberFormat="1" applyFont="1" applyFill="1"/>
    <xf numFmtId="49" fontId="34" fillId="3" borderId="7" xfId="73" applyNumberFormat="1" applyFont="1" applyFill="1" applyBorder="1" applyAlignment="1">
      <alignment horizontal="center" vertical="center" wrapText="1"/>
    </xf>
    <xf numFmtId="49" fontId="34" fillId="3" borderId="48" xfId="73" applyNumberFormat="1" applyFont="1" applyFill="1" applyBorder="1" applyAlignment="1">
      <alignment horizontal="center" vertical="center" wrapText="1"/>
    </xf>
    <xf numFmtId="0" fontId="34" fillId="3" borderId="25" xfId="73" applyFont="1" applyFill="1" applyBorder="1" applyAlignment="1">
      <alignment horizontal="left" vertical="center" wrapText="1"/>
    </xf>
    <xf numFmtId="49" fontId="34" fillId="2" borderId="25" xfId="73" applyNumberFormat="1" applyFont="1" applyFill="1" applyBorder="1" applyAlignment="1">
      <alignment horizontal="center" vertical="center" wrapText="1"/>
    </xf>
    <xf numFmtId="49" fontId="34" fillId="2" borderId="6" xfId="73" applyNumberFormat="1" applyFont="1" applyFill="1" applyBorder="1" applyAlignment="1">
      <alignment horizontal="center" vertical="center" wrapText="1"/>
    </xf>
    <xf numFmtId="0" fontId="34" fillId="2" borderId="6" xfId="73" applyFont="1" applyFill="1" applyBorder="1" applyAlignment="1">
      <alignment horizontal="left" vertical="center" wrapText="1"/>
    </xf>
    <xf numFmtId="49" fontId="34" fillId="3" borderId="6" xfId="2" applyNumberFormat="1" applyFont="1" applyFill="1" applyBorder="1" applyAlignment="1">
      <alignment horizontal="center" vertical="center" wrapText="1"/>
    </xf>
    <xf numFmtId="0" fontId="34" fillId="3" borderId="5" xfId="2" applyFont="1" applyFill="1" applyBorder="1" applyAlignment="1">
      <alignment horizontal="left" vertical="center" wrapText="1"/>
    </xf>
    <xf numFmtId="49" fontId="34" fillId="0" borderId="7" xfId="73" applyNumberFormat="1" applyFont="1" applyFill="1" applyBorder="1" applyAlignment="1">
      <alignment horizontal="center" vertical="center" wrapText="1"/>
    </xf>
    <xf numFmtId="49" fontId="34" fillId="0" borderId="48" xfId="73" applyNumberFormat="1" applyFont="1" applyFill="1" applyBorder="1" applyAlignment="1">
      <alignment horizontal="center" vertical="center" wrapText="1"/>
    </xf>
    <xf numFmtId="0" fontId="34" fillId="3" borderId="21" xfId="73" applyFont="1" applyFill="1" applyBorder="1" applyAlignment="1">
      <alignment horizontal="center" vertical="center" wrapText="1"/>
    </xf>
    <xf numFmtId="49" fontId="34" fillId="3" borderId="22" xfId="73" applyNumberFormat="1" applyFont="1" applyFill="1" applyBorder="1" applyAlignment="1">
      <alignment horizontal="center" vertical="center" wrapText="1"/>
    </xf>
    <xf numFmtId="49" fontId="34" fillId="3" borderId="55" xfId="73" applyNumberFormat="1" applyFont="1" applyFill="1" applyBorder="1" applyAlignment="1">
      <alignment horizontal="center" vertical="center" wrapText="1"/>
    </xf>
    <xf numFmtId="0" fontId="42" fillId="3" borderId="21" xfId="73" applyFont="1" applyFill="1" applyBorder="1" applyAlignment="1">
      <alignment horizontal="center" vertical="center" wrapText="1"/>
    </xf>
    <xf numFmtId="0" fontId="34" fillId="3" borderId="0" xfId="73" applyNumberFormat="1" applyFont="1" applyFill="1" applyAlignment="1" applyProtection="1"/>
    <xf numFmtId="2" fontId="10" fillId="0" borderId="0" xfId="73" applyNumberFormat="1" applyFont="1" applyFill="1" applyBorder="1" applyAlignment="1" applyProtection="1"/>
    <xf numFmtId="1" fontId="10" fillId="0" borderId="0" xfId="73" applyNumberFormat="1" applyFont="1" applyFill="1" applyAlignment="1" applyProtection="1"/>
    <xf numFmtId="0" fontId="9" fillId="0" borderId="0" xfId="2"/>
    <xf numFmtId="0" fontId="34" fillId="0" borderId="0" xfId="2" applyFont="1"/>
    <xf numFmtId="0" fontId="30" fillId="0" borderId="37" xfId="2" applyFont="1" applyBorder="1" applyAlignment="1">
      <alignment horizontal="center" vertical="center" textRotation="90" wrapText="1"/>
    </xf>
    <xf numFmtId="0" fontId="30" fillId="0" borderId="34" xfId="2" applyFont="1" applyBorder="1" applyAlignment="1">
      <alignment horizontal="center" vertical="center" wrapText="1"/>
    </xf>
    <xf numFmtId="0" fontId="30" fillId="0" borderId="37" xfId="2" applyFont="1" applyBorder="1" applyAlignment="1">
      <alignment horizontal="center" vertical="center" wrapText="1"/>
    </xf>
    <xf numFmtId="0" fontId="36" fillId="0" borderId="37" xfId="2" applyFont="1" applyBorder="1" applyAlignment="1">
      <alignment vertical="center" wrapText="1"/>
    </xf>
    <xf numFmtId="0" fontId="77" fillId="0" borderId="0" xfId="2" applyFont="1"/>
    <xf numFmtId="0" fontId="9" fillId="0" borderId="0" xfId="2" applyFont="1"/>
    <xf numFmtId="1" fontId="36" fillId="0" borderId="24" xfId="58" applyNumberFormat="1" applyFont="1" applyFill="1" applyBorder="1" applyAlignment="1">
      <alignment horizontal="center" vertical="center" wrapText="1"/>
    </xf>
    <xf numFmtId="0" fontId="42" fillId="0" borderId="0" xfId="73" applyNumberFormat="1" applyFont="1" applyFill="1" applyBorder="1" applyAlignment="1" applyProtection="1">
      <alignment horizontal="center" vertical="top" wrapText="1"/>
    </xf>
    <xf numFmtId="0" fontId="80" fillId="0" borderId="0" xfId="2" applyFont="1"/>
    <xf numFmtId="0" fontId="6" fillId="0" borderId="0" xfId="1" applyFont="1" applyAlignment="1">
      <alignment horizontal="left"/>
    </xf>
    <xf numFmtId="0" fontId="7" fillId="0" borderId="0" xfId="1" applyFont="1" applyAlignment="1">
      <alignment horizontal="left"/>
    </xf>
    <xf numFmtId="164" fontId="6" fillId="0" borderId="0" xfId="1" applyNumberFormat="1" applyFont="1" applyAlignment="1">
      <alignment horizontal="left"/>
    </xf>
    <xf numFmtId="0" fontId="5" fillId="0" borderId="0" xfId="1" applyAlignment="1">
      <alignment horizontal="left"/>
    </xf>
    <xf numFmtId="0" fontId="77" fillId="0" borderId="0" xfId="2" applyFont="1" applyFill="1"/>
    <xf numFmtId="0" fontId="80" fillId="0" borderId="0" xfId="2" applyFont="1" applyFill="1"/>
    <xf numFmtId="0" fontId="0" fillId="0" borderId="0" xfId="0" applyFill="1"/>
    <xf numFmtId="0" fontId="3" fillId="0" borderId="0" xfId="74"/>
    <xf numFmtId="0" fontId="30" fillId="2" borderId="0" xfId="58" applyFont="1" applyFill="1" applyAlignment="1"/>
    <xf numFmtId="165" fontId="9" fillId="0" borderId="0" xfId="2" applyNumberFormat="1"/>
    <xf numFmtId="165" fontId="9" fillId="0" borderId="0" xfId="2" applyNumberFormat="1" applyFont="1"/>
    <xf numFmtId="0" fontId="34" fillId="0" borderId="0" xfId="73" applyNumberFormat="1" applyFont="1" applyFill="1" applyBorder="1" applyAlignment="1" applyProtection="1">
      <alignment horizontal="left" vertical="top" wrapText="1"/>
    </xf>
    <xf numFmtId="1" fontId="38" fillId="0" borderId="0" xfId="2" applyNumberFormat="1" applyFont="1" applyFill="1"/>
    <xf numFmtId="0" fontId="32" fillId="0" borderId="0" xfId="58" applyFont="1"/>
    <xf numFmtId="0" fontId="31" fillId="0" borderId="0" xfId="58" applyFont="1" applyAlignment="1">
      <alignment horizontal="right"/>
    </xf>
    <xf numFmtId="0" fontId="83" fillId="0" borderId="0" xfId="58" applyFont="1" applyFill="1" applyBorder="1" applyAlignment="1">
      <alignment horizontal="left" vertical="center" wrapText="1"/>
    </xf>
    <xf numFmtId="0" fontId="36" fillId="0" borderId="0" xfId="58" applyFont="1" applyFill="1" applyBorder="1" applyAlignment="1">
      <alignment horizontal="right" vertical="center" wrapText="1"/>
    </xf>
    <xf numFmtId="0" fontId="39" fillId="0" borderId="0" xfId="58" applyFont="1" applyFill="1" applyBorder="1" applyAlignment="1">
      <alignment horizontal="left" vertical="center" wrapText="1"/>
    </xf>
    <xf numFmtId="0" fontId="31" fillId="0" borderId="17" xfId="58" applyFont="1" applyFill="1" applyBorder="1" applyAlignment="1">
      <alignment horizontal="center" vertical="center"/>
    </xf>
    <xf numFmtId="0" fontId="31" fillId="0" borderId="18" xfId="58" applyFont="1" applyFill="1" applyBorder="1" applyAlignment="1">
      <alignment horizontal="center" vertical="center" wrapText="1"/>
    </xf>
    <xf numFmtId="1" fontId="31" fillId="0" borderId="18" xfId="58" applyNumberFormat="1" applyFont="1" applyFill="1" applyBorder="1" applyAlignment="1">
      <alignment horizontal="center" vertical="center"/>
    </xf>
    <xf numFmtId="0" fontId="84" fillId="0" borderId="0" xfId="58" applyFont="1" applyFill="1" applyBorder="1" applyAlignment="1">
      <alignment horizontal="center" vertical="center" wrapText="1"/>
    </xf>
    <xf numFmtId="0" fontId="30" fillId="0" borderId="6" xfId="58" applyFont="1" applyFill="1" applyBorder="1" applyAlignment="1">
      <alignment horizontal="center" vertical="center"/>
    </xf>
    <xf numFmtId="0" fontId="39" fillId="0" borderId="0" xfId="58" applyFont="1" applyAlignment="1">
      <alignment horizontal="right"/>
    </xf>
    <xf numFmtId="0" fontId="39" fillId="0" borderId="0" xfId="58" applyFont="1" applyFill="1" applyAlignment="1">
      <alignment horizontal="right"/>
    </xf>
    <xf numFmtId="0" fontId="7" fillId="0" borderId="0" xfId="76" applyFont="1" applyAlignment="1">
      <alignment horizontal="left"/>
    </xf>
    <xf numFmtId="0" fontId="6" fillId="0" borderId="0" xfId="76" applyFont="1" applyAlignment="1">
      <alignment horizontal="left"/>
    </xf>
    <xf numFmtId="0" fontId="6" fillId="0" borderId="0" xfId="76" applyFont="1" applyAlignment="1">
      <alignment horizontal="right"/>
    </xf>
    <xf numFmtId="0" fontId="6" fillId="0" borderId="0" xfId="76" applyFont="1" applyFill="1" applyAlignment="1">
      <alignment horizontal="right"/>
    </xf>
    <xf numFmtId="0" fontId="7" fillId="0" borderId="0" xfId="76" applyFont="1" applyAlignment="1">
      <alignment horizontal="right"/>
    </xf>
    <xf numFmtId="1" fontId="46" fillId="0" borderId="0" xfId="2" applyNumberFormat="1" applyFont="1" applyBorder="1" applyAlignment="1">
      <alignment horizontal="right" vertical="center" wrapText="1"/>
    </xf>
    <xf numFmtId="0" fontId="18" fillId="0" borderId="0" xfId="58" applyAlignment="1">
      <alignment horizontal="right"/>
    </xf>
    <xf numFmtId="0" fontId="18" fillId="0" borderId="0" xfId="58" applyFill="1" applyAlignment="1">
      <alignment horizontal="right"/>
    </xf>
    <xf numFmtId="0" fontId="60" fillId="2" borderId="0" xfId="73" applyNumberFormat="1" applyFont="1" applyFill="1" applyBorder="1" applyAlignment="1" applyProtection="1"/>
    <xf numFmtId="0" fontId="10" fillId="2" borderId="0" xfId="73" applyNumberFormat="1" applyFont="1" applyFill="1" applyBorder="1" applyAlignment="1" applyProtection="1"/>
    <xf numFmtId="0" fontId="42" fillId="2" borderId="0" xfId="73" applyNumberFormat="1" applyFont="1" applyFill="1" applyBorder="1" applyAlignment="1" applyProtection="1">
      <alignment horizontal="center" vertical="top" wrapText="1"/>
    </xf>
    <xf numFmtId="0" fontId="34" fillId="2" borderId="0" xfId="73" applyFont="1" applyFill="1" applyAlignment="1">
      <alignment horizontal="right"/>
    </xf>
    <xf numFmtId="0" fontId="65" fillId="2" borderId="20" xfId="73" applyNumberFormat="1" applyFont="1" applyFill="1" applyBorder="1" applyAlignment="1" applyProtection="1">
      <alignment horizontal="center" vertical="center" wrapText="1"/>
    </xf>
    <xf numFmtId="1" fontId="67" fillId="2" borderId="22" xfId="49" applyNumberFormat="1" applyFont="1" applyFill="1" applyBorder="1" applyAlignment="1">
      <alignment vertical="center"/>
    </xf>
    <xf numFmtId="1" fontId="67" fillId="2" borderId="31" xfId="49" applyNumberFormat="1" applyFont="1" applyFill="1" applyBorder="1" applyAlignment="1">
      <alignment vertical="center"/>
    </xf>
    <xf numFmtId="1" fontId="60" fillId="2" borderId="0" xfId="73" applyNumberFormat="1" applyFont="1" applyFill="1" applyAlignment="1" applyProtection="1"/>
    <xf numFmtId="0" fontId="60" fillId="2" borderId="0" xfId="73" applyNumberFormat="1" applyFont="1" applyFill="1" applyAlignment="1" applyProtection="1"/>
    <xf numFmtId="2" fontId="10" fillId="2" borderId="0" xfId="73" applyNumberFormat="1" applyFont="1" applyFill="1" applyAlignment="1" applyProtection="1"/>
    <xf numFmtId="0" fontId="7" fillId="2" borderId="0" xfId="76" applyFont="1" applyFill="1" applyAlignment="1">
      <alignment horizontal="left"/>
    </xf>
    <xf numFmtId="0" fontId="10" fillId="2" borderId="0" xfId="73" applyNumberFormat="1" applyFont="1" applyFill="1" applyAlignment="1" applyProtection="1"/>
    <xf numFmtId="0" fontId="74" fillId="0" borderId="0" xfId="77" applyFont="1" applyAlignment="1"/>
    <xf numFmtId="0" fontId="1" fillId="0" borderId="0" xfId="77"/>
    <xf numFmtId="0" fontId="30" fillId="0" borderId="0" xfId="58" applyFont="1" applyFill="1" applyAlignment="1"/>
    <xf numFmtId="0" fontId="7" fillId="0" borderId="0" xfId="77" applyFont="1" applyAlignment="1">
      <alignment horizontal="left"/>
    </xf>
    <xf numFmtId="0" fontId="7" fillId="0" borderId="0" xfId="77" applyFont="1"/>
    <xf numFmtId="1" fontId="7" fillId="0" borderId="0" xfId="77" applyNumberFormat="1" applyFont="1" applyFill="1" applyAlignment="1">
      <alignment horizontal="right"/>
    </xf>
    <xf numFmtId="0" fontId="75" fillId="0" borderId="52" xfId="77" applyFont="1" applyBorder="1" applyAlignment="1">
      <alignment horizontal="centerContinuous" vertical="center" wrapText="1"/>
    </xf>
    <xf numFmtId="0" fontId="75" fillId="0" borderId="53" xfId="77" applyFont="1" applyBorder="1" applyAlignment="1">
      <alignment horizontal="centerContinuous" vertical="center"/>
    </xf>
    <xf numFmtId="0" fontId="7" fillId="0" borderId="52" xfId="77" applyFont="1" applyBorder="1" applyAlignment="1">
      <alignment horizontal="centerContinuous" vertical="center" wrapText="1"/>
    </xf>
    <xf numFmtId="0" fontId="7" fillId="0" borderId="53" xfId="77" applyFont="1" applyBorder="1" applyAlignment="1">
      <alignment horizontal="centerContinuous" vertical="center"/>
    </xf>
    <xf numFmtId="0" fontId="86" fillId="0" borderId="52" xfId="77" applyFont="1" applyBorder="1" applyAlignment="1">
      <alignment horizontal="centerContinuous" vertical="center" wrapText="1"/>
    </xf>
    <xf numFmtId="0" fontId="86" fillId="0" borderId="53" xfId="77" applyFont="1" applyBorder="1" applyAlignment="1">
      <alignment horizontal="centerContinuous" vertical="center"/>
    </xf>
    <xf numFmtId="0" fontId="75" fillId="0" borderId="52" xfId="77" applyFont="1" applyFill="1" applyBorder="1" applyAlignment="1">
      <alignment horizontal="centerContinuous" vertical="center" wrapText="1"/>
    </xf>
    <xf numFmtId="0" fontId="75" fillId="0" borderId="53" xfId="77" applyFont="1" applyFill="1" applyBorder="1" applyAlignment="1">
      <alignment horizontal="centerContinuous" vertical="center"/>
    </xf>
    <xf numFmtId="0" fontId="75" fillId="0" borderId="48" xfId="77" applyFont="1" applyBorder="1" applyAlignment="1">
      <alignment horizontal="centerContinuous" vertical="center" wrapText="1"/>
    </xf>
    <xf numFmtId="0" fontId="75" fillId="0" borderId="59" xfId="77" applyFont="1" applyBorder="1" applyAlignment="1">
      <alignment horizontal="centerContinuous" vertical="center"/>
    </xf>
    <xf numFmtId="0" fontId="75" fillId="0" borderId="52" xfId="77" applyFont="1" applyFill="1" applyBorder="1" applyAlignment="1">
      <alignment horizontal="left" vertical="center"/>
    </xf>
    <xf numFmtId="0" fontId="75" fillId="0" borderId="5" xfId="77" applyFont="1" applyFill="1" applyBorder="1" applyAlignment="1">
      <alignment horizontal="centerContinuous" vertical="center"/>
    </xf>
    <xf numFmtId="0" fontId="75" fillId="0" borderId="5" xfId="77" applyFont="1" applyFill="1" applyBorder="1" applyAlignment="1">
      <alignment horizontal="left" vertical="center"/>
    </xf>
    <xf numFmtId="0" fontId="75" fillId="0" borderId="7" xfId="77" applyFont="1" applyFill="1" applyBorder="1" applyAlignment="1">
      <alignment horizontal="centerContinuous" vertical="center"/>
    </xf>
    <xf numFmtId="0" fontId="75" fillId="0" borderId="7" xfId="77" applyFont="1" applyFill="1" applyBorder="1" applyAlignment="1">
      <alignment horizontal="left" vertical="center"/>
    </xf>
    <xf numFmtId="1" fontId="7" fillId="0" borderId="0" xfId="76" applyNumberFormat="1" applyFont="1" applyAlignment="1">
      <alignment horizontal="right"/>
    </xf>
    <xf numFmtId="164" fontId="6" fillId="0" borderId="0" xfId="76" applyNumberFormat="1" applyFont="1" applyAlignment="1">
      <alignment horizontal="left"/>
    </xf>
    <xf numFmtId="0" fontId="1" fillId="0" borderId="0" xfId="76" applyAlignment="1">
      <alignment horizontal="left"/>
    </xf>
    <xf numFmtId="1" fontId="9" fillId="0" borderId="0" xfId="2" applyNumberFormat="1"/>
    <xf numFmtId="0" fontId="0" fillId="2" borderId="0" xfId="0" applyFill="1"/>
    <xf numFmtId="0" fontId="10" fillId="0" borderId="5" xfId="73" applyFont="1" applyFill="1" applyBorder="1" applyAlignment="1">
      <alignment horizontal="left" vertical="center" wrapText="1"/>
    </xf>
    <xf numFmtId="0" fontId="10" fillId="0" borderId="6" xfId="73" applyFont="1" applyFill="1" applyBorder="1" applyAlignment="1">
      <alignment horizontal="left" vertical="center" wrapText="1"/>
    </xf>
    <xf numFmtId="1" fontId="36" fillId="0" borderId="57" xfId="58" applyNumberFormat="1" applyFont="1" applyFill="1" applyBorder="1" applyAlignment="1">
      <alignment horizontal="center" vertical="center" wrapText="1"/>
    </xf>
    <xf numFmtId="1" fontId="31" fillId="0" borderId="50" xfId="58" applyNumberFormat="1" applyFont="1" applyFill="1" applyBorder="1" applyAlignment="1">
      <alignment horizontal="center" vertical="center"/>
    </xf>
    <xf numFmtId="0" fontId="10" fillId="2" borderId="6" xfId="73" applyFont="1" applyFill="1" applyBorder="1" applyAlignment="1">
      <alignment horizontal="left" vertical="center" wrapText="1"/>
    </xf>
    <xf numFmtId="0" fontId="34" fillId="0" borderId="0" xfId="58" applyFont="1" applyAlignment="1"/>
    <xf numFmtId="0" fontId="30" fillId="0" borderId="0" xfId="58" applyFont="1" applyAlignment="1">
      <alignment horizontal="left"/>
    </xf>
    <xf numFmtId="0" fontId="35" fillId="0" borderId="0" xfId="58" applyFont="1" applyAlignment="1">
      <alignment horizontal="left"/>
    </xf>
    <xf numFmtId="0" fontId="36" fillId="0" borderId="0" xfId="58" applyFont="1" applyFill="1" applyBorder="1" applyAlignment="1">
      <alignment horizontal="left" vertical="center" wrapText="1"/>
    </xf>
    <xf numFmtId="0" fontId="87" fillId="0" borderId="0" xfId="58" applyFont="1" applyFill="1" applyBorder="1" applyAlignment="1">
      <alignment horizontal="left" vertical="center" wrapText="1"/>
    </xf>
    <xf numFmtId="1" fontId="36" fillId="0" borderId="24" xfId="58" applyNumberFormat="1" applyFont="1" applyFill="1" applyBorder="1" applyAlignment="1">
      <alignment horizontal="center" vertical="center"/>
    </xf>
    <xf numFmtId="1" fontId="36" fillId="0" borderId="18" xfId="58" applyNumberFormat="1" applyFont="1" applyFill="1" applyBorder="1" applyAlignment="1">
      <alignment horizontal="center" vertical="center"/>
    </xf>
    <xf numFmtId="1" fontId="36" fillId="0" borderId="50" xfId="58" applyNumberFormat="1" applyFont="1" applyFill="1" applyBorder="1" applyAlignment="1">
      <alignment horizontal="center" vertical="center"/>
    </xf>
    <xf numFmtId="0" fontId="36" fillId="0" borderId="21" xfId="58" applyFont="1" applyFill="1" applyBorder="1" applyAlignment="1">
      <alignment horizontal="left" vertical="center"/>
    </xf>
    <xf numFmtId="0" fontId="36" fillId="0" borderId="23" xfId="58" applyFont="1" applyFill="1" applyBorder="1" applyAlignment="1">
      <alignment horizontal="left" vertical="center"/>
    </xf>
    <xf numFmtId="0" fontId="36" fillId="0" borderId="6" xfId="58" applyFont="1" applyFill="1" applyBorder="1" applyAlignment="1">
      <alignment horizontal="left" vertical="center"/>
    </xf>
    <xf numFmtId="0" fontId="30" fillId="0" borderId="6" xfId="58" applyFont="1" applyFill="1" applyBorder="1" applyAlignment="1">
      <alignment horizontal="left" vertical="center"/>
    </xf>
    <xf numFmtId="0" fontId="30" fillId="0" borderId="25" xfId="58" applyFont="1" applyFill="1" applyBorder="1" applyAlignment="1">
      <alignment horizontal="left" vertical="center"/>
    </xf>
    <xf numFmtId="0" fontId="36" fillId="0" borderId="21" xfId="2" applyFont="1" applyFill="1" applyBorder="1" applyAlignment="1">
      <alignment horizontal="left" vertical="center"/>
    </xf>
    <xf numFmtId="0" fontId="36" fillId="0" borderId="22" xfId="2" applyFont="1" applyFill="1" applyBorder="1" applyAlignment="1">
      <alignment horizontal="left" vertical="center" wrapText="1"/>
    </xf>
    <xf numFmtId="0" fontId="36" fillId="0" borderId="23" xfId="2" applyFont="1" applyFill="1" applyBorder="1" applyAlignment="1">
      <alignment horizontal="left" vertical="center"/>
    </xf>
    <xf numFmtId="0" fontId="36" fillId="0" borderId="24" xfId="2" applyFont="1" applyFill="1" applyBorder="1" applyAlignment="1">
      <alignment horizontal="left" vertical="center" wrapText="1"/>
    </xf>
    <xf numFmtId="0" fontId="30" fillId="0" borderId="6" xfId="2" applyFont="1" applyFill="1" applyBorder="1" applyAlignment="1">
      <alignment horizontal="left" vertical="center"/>
    </xf>
    <xf numFmtId="0" fontId="36" fillId="0" borderId="6" xfId="2" applyFont="1" applyFill="1" applyBorder="1" applyAlignment="1">
      <alignment horizontal="left" vertical="center"/>
    </xf>
    <xf numFmtId="0" fontId="36" fillId="0" borderId="5" xfId="2" applyFont="1" applyFill="1" applyBorder="1" applyAlignment="1">
      <alignment horizontal="left" vertical="center" wrapText="1"/>
    </xf>
    <xf numFmtId="0" fontId="36" fillId="2" borderId="6" xfId="2" applyFont="1" applyFill="1" applyBorder="1" applyAlignment="1">
      <alignment horizontal="left" vertical="center"/>
    </xf>
    <xf numFmtId="0" fontId="36" fillId="2" borderId="5" xfId="2" applyFont="1" applyFill="1" applyBorder="1" applyAlignment="1">
      <alignment horizontal="left" vertical="center" wrapText="1"/>
    </xf>
    <xf numFmtId="0" fontId="30" fillId="2" borderId="6" xfId="2" applyFont="1" applyFill="1" applyBorder="1" applyAlignment="1">
      <alignment horizontal="left" vertical="center"/>
    </xf>
    <xf numFmtId="0" fontId="30" fillId="2" borderId="5" xfId="2" applyFont="1" applyFill="1" applyBorder="1" applyAlignment="1">
      <alignment horizontal="left" vertical="center" wrapText="1"/>
    </xf>
    <xf numFmtId="0" fontId="30" fillId="0" borderId="6" xfId="2" applyFont="1" applyFill="1" applyBorder="1" applyAlignment="1">
      <alignment horizontal="left"/>
    </xf>
    <xf numFmtId="0" fontId="30" fillId="0" borderId="5" xfId="2" applyFont="1" applyFill="1" applyBorder="1" applyAlignment="1">
      <alignment wrapText="1"/>
    </xf>
    <xf numFmtId="0" fontId="34" fillId="0" borderId="6" xfId="2" applyFont="1" applyFill="1" applyBorder="1" applyAlignment="1">
      <alignment horizontal="left" vertical="center"/>
    </xf>
    <xf numFmtId="0" fontId="34" fillId="0" borderId="5" xfId="2" applyFont="1" applyFill="1" applyBorder="1" applyAlignment="1">
      <alignment horizontal="left" vertical="center" wrapText="1"/>
    </xf>
    <xf numFmtId="0" fontId="88" fillId="21" borderId="62" xfId="0" applyFont="1" applyFill="1" applyBorder="1" applyAlignment="1">
      <alignment horizontal="left" vertical="center" wrapText="1"/>
    </xf>
    <xf numFmtId="0" fontId="88" fillId="21" borderId="63" xfId="0" applyFont="1" applyFill="1" applyBorder="1" applyAlignment="1">
      <alignment horizontal="left" vertical="center" wrapText="1"/>
    </xf>
    <xf numFmtId="4" fontId="34" fillId="0" borderId="5" xfId="2" applyNumberFormat="1" applyFont="1" applyFill="1" applyBorder="1" applyAlignment="1">
      <alignment horizontal="center" vertical="center" wrapText="1"/>
    </xf>
    <xf numFmtId="1" fontId="39" fillId="0" borderId="0" xfId="58" applyNumberFormat="1" applyFont="1"/>
    <xf numFmtId="1" fontId="6" fillId="0" borderId="0" xfId="76" applyNumberFormat="1" applyFont="1" applyAlignment="1">
      <alignment horizontal="left"/>
    </xf>
    <xf numFmtId="1" fontId="46" fillId="0" borderId="0" xfId="2" applyNumberFormat="1" applyFont="1" applyBorder="1" applyAlignment="1">
      <alignment vertical="center" wrapText="1"/>
    </xf>
    <xf numFmtId="0" fontId="89" fillId="0" borderId="0" xfId="2" applyFont="1" applyAlignment="1">
      <alignment horizontal="center"/>
    </xf>
    <xf numFmtId="0" fontId="89" fillId="0" borderId="0" xfId="2" applyFont="1" applyAlignment="1">
      <alignment horizontal="left"/>
    </xf>
    <xf numFmtId="0" fontId="89" fillId="0" borderId="0" xfId="2" applyFont="1" applyAlignment="1">
      <alignment vertical="center"/>
    </xf>
    <xf numFmtId="0" fontId="89" fillId="0" borderId="0" xfId="2" applyFont="1" applyAlignment="1">
      <alignment horizontal="center" vertical="center"/>
    </xf>
    <xf numFmtId="0" fontId="90" fillId="0" borderId="0" xfId="2" applyFont="1" applyAlignment="1">
      <alignment vertical="center"/>
    </xf>
    <xf numFmtId="0" fontId="89" fillId="0" borderId="36" xfId="2" applyFont="1" applyBorder="1" applyAlignment="1">
      <alignment horizontal="center" vertical="center" wrapText="1"/>
    </xf>
    <xf numFmtId="0" fontId="89" fillId="0" borderId="37" xfId="2" applyFont="1" applyBorder="1" applyAlignment="1">
      <alignment horizontal="center" vertical="center" wrapText="1"/>
    </xf>
    <xf numFmtId="0" fontId="89" fillId="0" borderId="36" xfId="2" applyFont="1" applyBorder="1" applyAlignment="1">
      <alignment horizontal="center" vertical="distributed" wrapText="1"/>
    </xf>
    <xf numFmtId="2" fontId="54" fillId="0" borderId="0" xfId="2" applyNumberFormat="1" applyFont="1" applyAlignment="1">
      <alignment vertical="center"/>
    </xf>
    <xf numFmtId="0" fontId="89" fillId="0" borderId="38" xfId="2" applyFont="1" applyBorder="1" applyAlignment="1">
      <alignment horizontal="center" vertical="top" wrapText="1"/>
    </xf>
    <xf numFmtId="0" fontId="89" fillId="0" borderId="36" xfId="2" applyFont="1" applyBorder="1" applyAlignment="1">
      <alignment horizontal="left" vertical="top" wrapText="1"/>
    </xf>
    <xf numFmtId="2" fontId="89" fillId="0" borderId="36" xfId="2" applyNumberFormat="1" applyFont="1" applyBorder="1" applyAlignment="1">
      <alignment horizontal="right" vertical="top" wrapText="1"/>
    </xf>
    <xf numFmtId="2" fontId="89" fillId="0" borderId="39" xfId="2" applyNumberFormat="1" applyFont="1" applyFill="1" applyBorder="1" applyAlignment="1">
      <alignment horizontal="center" vertical="top" wrapText="1"/>
    </xf>
    <xf numFmtId="2" fontId="89" fillId="0" borderId="36" xfId="2" applyNumberFormat="1" applyFont="1" applyFill="1" applyBorder="1" applyAlignment="1">
      <alignment horizontal="center" vertical="top" wrapText="1"/>
    </xf>
    <xf numFmtId="2" fontId="89" fillId="0" borderId="40" xfId="2" applyNumberFormat="1" applyFont="1" applyFill="1" applyBorder="1" applyAlignment="1">
      <alignment horizontal="center" vertical="top" wrapText="1"/>
    </xf>
    <xf numFmtId="2" fontId="89" fillId="0" borderId="39" xfId="2" applyNumberFormat="1" applyFont="1" applyFill="1" applyBorder="1" applyAlignment="1">
      <alignment horizontal="center" vertical="center" wrapText="1"/>
    </xf>
    <xf numFmtId="2" fontId="89" fillId="0" borderId="36" xfId="2" applyNumberFormat="1" applyFont="1" applyFill="1" applyBorder="1" applyAlignment="1">
      <alignment horizontal="center" vertical="center"/>
    </xf>
    <xf numFmtId="2" fontId="89" fillId="0" borderId="40" xfId="2" applyNumberFormat="1" applyFont="1" applyFill="1" applyBorder="1" applyAlignment="1">
      <alignment horizontal="center" vertical="center"/>
    </xf>
    <xf numFmtId="49" fontId="89" fillId="0" borderId="0" xfId="2" applyNumberFormat="1" applyFont="1" applyBorder="1" applyAlignment="1">
      <alignment horizontal="center" vertical="center"/>
    </xf>
    <xf numFmtId="0" fontId="89" fillId="0" borderId="0" xfId="2" applyFont="1" applyBorder="1" applyAlignment="1">
      <alignment horizontal="left" vertical="center" wrapText="1"/>
    </xf>
    <xf numFmtId="0" fontId="89" fillId="0" borderId="0" xfId="2" applyFont="1" applyBorder="1" applyAlignment="1">
      <alignment vertical="center" wrapText="1"/>
    </xf>
    <xf numFmtId="168" fontId="89" fillId="0" borderId="0" xfId="2" applyNumberFormat="1" applyFont="1" applyBorder="1" applyAlignment="1">
      <alignment horizontal="right" vertical="center"/>
    </xf>
    <xf numFmtId="0" fontId="60" fillId="0" borderId="0" xfId="73" applyNumberFormat="1" applyFont="1" applyFill="1" applyBorder="1" applyAlignment="1" applyProtection="1"/>
    <xf numFmtId="0" fontId="34" fillId="0" borderId="0" xfId="58" applyFont="1" applyFill="1" applyAlignment="1"/>
    <xf numFmtId="0" fontId="34" fillId="3" borderId="0" xfId="73" applyFont="1" applyFill="1" applyAlignment="1">
      <alignment horizontal="right"/>
    </xf>
    <xf numFmtId="0" fontId="65" fillId="0" borderId="7" xfId="73" applyNumberFormat="1" applyFont="1" applyFill="1" applyBorder="1" applyAlignment="1" applyProtection="1">
      <alignment horizontal="center" vertical="center" wrapText="1"/>
    </xf>
    <xf numFmtId="0" fontId="65" fillId="0" borderId="20" xfId="73" applyNumberFormat="1" applyFont="1" applyFill="1" applyBorder="1" applyAlignment="1" applyProtection="1">
      <alignment horizontal="center" vertical="center" wrapText="1"/>
    </xf>
    <xf numFmtId="0" fontId="65" fillId="3" borderId="20" xfId="73" applyNumberFormat="1" applyFont="1" applyFill="1" applyBorder="1" applyAlignment="1" applyProtection="1">
      <alignment horizontal="center" vertical="center" wrapText="1"/>
    </xf>
    <xf numFmtId="49" fontId="42" fillId="3" borderId="10" xfId="73" applyNumberFormat="1" applyFont="1" applyFill="1" applyBorder="1" applyAlignment="1">
      <alignment horizontal="center" vertical="center" wrapText="1"/>
    </xf>
    <xf numFmtId="49" fontId="42" fillId="3" borderId="9" xfId="73" applyNumberFormat="1" applyFont="1" applyFill="1" applyBorder="1" applyAlignment="1">
      <alignment horizontal="center" vertical="center" wrapText="1"/>
    </xf>
    <xf numFmtId="0" fontId="42" fillId="3" borderId="9" xfId="73" applyFont="1" applyFill="1" applyBorder="1" applyAlignment="1">
      <alignment horizontal="center" vertical="center" wrapText="1"/>
    </xf>
    <xf numFmtId="2" fontId="36" fillId="3" borderId="9" xfId="49" applyNumberFormat="1" applyFont="1" applyFill="1" applyBorder="1" applyAlignment="1">
      <alignment horizontal="right" vertical="center"/>
    </xf>
    <xf numFmtId="2" fontId="36" fillId="0" borderId="9" xfId="49" applyNumberFormat="1" applyFont="1" applyFill="1" applyBorder="1" applyAlignment="1">
      <alignment horizontal="right" vertical="center"/>
    </xf>
    <xf numFmtId="2" fontId="36" fillId="3" borderId="8" xfId="49" applyNumberFormat="1" applyFont="1" applyFill="1" applyBorder="1" applyAlignment="1">
      <alignment horizontal="right" vertical="center"/>
    </xf>
    <xf numFmtId="2" fontId="36" fillId="0" borderId="4" xfId="49" applyNumberFormat="1" applyFont="1" applyFill="1" applyBorder="1" applyAlignment="1">
      <alignment horizontal="right" vertical="center"/>
    </xf>
    <xf numFmtId="0" fontId="34" fillId="3" borderId="5" xfId="73" applyFont="1" applyFill="1" applyBorder="1" applyAlignment="1">
      <alignment horizontal="left" vertical="center" wrapText="1"/>
    </xf>
    <xf numFmtId="2" fontId="30" fillId="3" borderId="5" xfId="49" applyNumberFormat="1" applyFont="1" applyFill="1" applyBorder="1" applyAlignment="1">
      <alignment horizontal="right" vertical="center"/>
    </xf>
    <xf numFmtId="2" fontId="36" fillId="3" borderId="5" xfId="49" applyNumberFormat="1" applyFont="1" applyFill="1" applyBorder="1" applyAlignment="1">
      <alignment horizontal="right" vertical="center"/>
    </xf>
    <xf numFmtId="2" fontId="69" fillId="3" borderId="5" xfId="49" applyNumberFormat="1" applyFont="1" applyFill="1" applyBorder="1" applyAlignment="1">
      <alignment horizontal="right" vertical="center"/>
    </xf>
    <xf numFmtId="2" fontId="69" fillId="0" borderId="5" xfId="49" applyNumberFormat="1" applyFont="1" applyFill="1" applyBorder="1" applyAlignment="1">
      <alignment horizontal="right" vertical="center"/>
    </xf>
    <xf numFmtId="2" fontId="30" fillId="0" borderId="5" xfId="49" applyNumberFormat="1" applyFont="1" applyFill="1" applyBorder="1" applyAlignment="1">
      <alignment horizontal="right" vertical="center"/>
    </xf>
    <xf numFmtId="2" fontId="36" fillId="3" borderId="4" xfId="49" applyNumberFormat="1" applyFont="1" applyFill="1" applyBorder="1" applyAlignment="1">
      <alignment horizontal="right" vertical="center"/>
    </xf>
    <xf numFmtId="2" fontId="30" fillId="2" borderId="5" xfId="73" applyNumberFormat="1" applyFont="1" applyFill="1" applyBorder="1" applyAlignment="1">
      <alignment horizontal="right" vertical="center" wrapText="1"/>
    </xf>
    <xf numFmtId="2" fontId="42" fillId="3" borderId="5" xfId="49" applyNumberFormat="1" applyFont="1" applyFill="1" applyBorder="1" applyAlignment="1">
      <alignment horizontal="right" vertical="center"/>
    </xf>
    <xf numFmtId="2" fontId="34" fillId="0" borderId="5" xfId="49" applyNumberFormat="1" applyFont="1" applyFill="1" applyBorder="1" applyAlignment="1">
      <alignment horizontal="right" vertical="center"/>
    </xf>
    <xf numFmtId="2" fontId="34" fillId="3" borderId="5" xfId="49" applyNumberFormat="1" applyFont="1" applyFill="1" applyBorder="1" applyAlignment="1">
      <alignment horizontal="right" vertical="center"/>
    </xf>
    <xf numFmtId="2" fontId="34" fillId="2" borderId="5" xfId="49" applyNumberFormat="1" applyFont="1" applyFill="1" applyBorder="1" applyAlignment="1">
      <alignment horizontal="right" vertical="center"/>
    </xf>
    <xf numFmtId="2" fontId="70" fillId="0" borderId="5" xfId="49" applyNumberFormat="1" applyFont="1" applyFill="1" applyBorder="1" applyAlignment="1">
      <alignment horizontal="right" vertical="center"/>
    </xf>
    <xf numFmtId="2" fontId="70" fillId="3" borderId="5" xfId="49" applyNumberFormat="1" applyFont="1" applyFill="1" applyBorder="1" applyAlignment="1">
      <alignment horizontal="right" vertical="center"/>
    </xf>
    <xf numFmtId="2" fontId="30" fillId="2" borderId="5" xfId="49" applyNumberFormat="1" applyFont="1" applyFill="1" applyBorder="1" applyAlignment="1">
      <alignment horizontal="right" vertical="center"/>
    </xf>
    <xf numFmtId="0" fontId="34" fillId="2" borderId="5" xfId="73" applyFont="1" applyFill="1" applyBorder="1" applyAlignment="1">
      <alignment horizontal="left" vertical="center" wrapText="1"/>
    </xf>
    <xf numFmtId="0" fontId="34" fillId="0" borderId="5" xfId="73" applyFont="1" applyFill="1" applyBorder="1" applyAlignment="1">
      <alignment horizontal="left" vertical="center" wrapText="1"/>
    </xf>
    <xf numFmtId="2" fontId="36" fillId="0" borderId="5" xfId="49" applyNumberFormat="1" applyFont="1" applyFill="1" applyBorder="1" applyAlignment="1">
      <alignment horizontal="right" vertical="center"/>
    </xf>
    <xf numFmtId="2" fontId="42" fillId="0" borderId="5" xfId="49" applyNumberFormat="1" applyFont="1" applyFill="1" applyBorder="1" applyAlignment="1">
      <alignment horizontal="right" vertical="center"/>
    </xf>
    <xf numFmtId="0" fontId="42" fillId="0" borderId="5" xfId="73" applyFont="1" applyFill="1" applyBorder="1" applyAlignment="1">
      <alignment horizontal="left" vertical="center" wrapText="1"/>
    </xf>
    <xf numFmtId="2" fontId="42" fillId="2" borderId="5" xfId="49" applyNumberFormat="1" applyFont="1" applyFill="1" applyBorder="1" applyAlignment="1">
      <alignment horizontal="right" vertical="center"/>
    </xf>
    <xf numFmtId="0" fontId="42" fillId="3" borderId="5" xfId="73" applyFont="1" applyFill="1" applyBorder="1" applyAlignment="1">
      <alignment horizontal="left" vertical="center" wrapText="1"/>
    </xf>
    <xf numFmtId="2" fontId="36" fillId="2" borderId="5" xfId="49" applyNumberFormat="1" applyFont="1" applyFill="1" applyBorder="1" applyAlignment="1">
      <alignment horizontal="right" vertical="center"/>
    </xf>
    <xf numFmtId="4" fontId="30" fillId="2" borderId="5" xfId="2" applyNumberFormat="1" applyFont="1" applyFill="1" applyBorder="1" applyAlignment="1">
      <alignment horizontal="center" vertical="center" wrapText="1"/>
    </xf>
    <xf numFmtId="1" fontId="30" fillId="3" borderId="5" xfId="49" applyNumberFormat="1" applyFont="1" applyFill="1" applyBorder="1" applyAlignment="1">
      <alignment horizontal="left" vertical="top"/>
    </xf>
    <xf numFmtId="1" fontId="30" fillId="3" borderId="5" xfId="49" applyNumberFormat="1" applyFont="1" applyFill="1" applyBorder="1" applyAlignment="1">
      <alignment horizontal="left" vertical="top" wrapText="1"/>
    </xf>
    <xf numFmtId="2" fontId="34" fillId="0" borderId="5" xfId="49" applyNumberFormat="1" applyFont="1" applyFill="1" applyBorder="1" applyAlignment="1">
      <alignment horizontal="center" vertical="center"/>
    </xf>
    <xf numFmtId="2" fontId="34" fillId="3" borderId="5" xfId="49" applyNumberFormat="1" applyFont="1" applyFill="1" applyBorder="1" applyAlignment="1">
      <alignment horizontal="center" vertical="center"/>
    </xf>
    <xf numFmtId="2" fontId="71" fillId="3" borderId="5" xfId="58" applyNumberFormat="1" applyFont="1" applyFill="1" applyBorder="1" applyAlignment="1">
      <alignment horizontal="right" vertical="center"/>
    </xf>
    <xf numFmtId="0" fontId="7" fillId="2" borderId="5" xfId="81" quotePrefix="1" applyFont="1" applyFill="1" applyBorder="1" applyAlignment="1">
      <alignment horizontal="left" vertical="center" wrapText="1"/>
    </xf>
    <xf numFmtId="0" fontId="34" fillId="3" borderId="5" xfId="73" applyFont="1" applyFill="1" applyBorder="1" applyAlignment="1">
      <alignment horizontal="center" vertical="center" wrapText="1"/>
    </xf>
    <xf numFmtId="0" fontId="34" fillId="20" borderId="5" xfId="73" applyFont="1" applyFill="1" applyBorder="1" applyAlignment="1">
      <alignment horizontal="center" vertical="center" wrapText="1"/>
    </xf>
    <xf numFmtId="2" fontId="30" fillId="20" borderId="5" xfId="49" applyNumberFormat="1" applyFont="1" applyFill="1" applyBorder="1" applyAlignment="1">
      <alignment horizontal="right" vertical="center"/>
    </xf>
    <xf numFmtId="2" fontId="30" fillId="20" borderId="4" xfId="49" applyNumberFormat="1" applyFont="1" applyFill="1" applyBorder="1" applyAlignment="1">
      <alignment horizontal="right" vertical="center"/>
    </xf>
    <xf numFmtId="2" fontId="36" fillId="3" borderId="5" xfId="49" applyNumberFormat="1" applyFont="1" applyFill="1" applyBorder="1" applyAlignment="1">
      <alignment horizontal="center" vertical="center"/>
    </xf>
    <xf numFmtId="49" fontId="34" fillId="0" borderId="6" xfId="2" applyNumberFormat="1" applyFont="1" applyFill="1" applyBorder="1" applyAlignment="1">
      <alignment horizontal="center" vertical="center" wrapText="1"/>
    </xf>
    <xf numFmtId="49" fontId="7" fillId="2" borderId="6" xfId="81" applyNumberFormat="1" applyFont="1" applyFill="1" applyBorder="1" applyAlignment="1">
      <alignment horizontal="center" vertical="center" wrapText="1"/>
    </xf>
    <xf numFmtId="0" fontId="7" fillId="2" borderId="5" xfId="81" applyFont="1" applyFill="1" applyBorder="1" applyAlignment="1">
      <alignment horizontal="center" vertical="center" wrapText="1"/>
    </xf>
    <xf numFmtId="2" fontId="75" fillId="3" borderId="5" xfId="49" applyNumberFormat="1" applyFont="1" applyFill="1" applyBorder="1" applyAlignment="1">
      <alignment horizontal="right" vertical="center"/>
    </xf>
    <xf numFmtId="0" fontId="34" fillId="3" borderId="7" xfId="73" applyFont="1" applyFill="1" applyBorder="1" applyAlignment="1">
      <alignment horizontal="left" vertical="center" wrapText="1"/>
    </xf>
    <xf numFmtId="2" fontId="36" fillId="3" borderId="7" xfId="49" applyNumberFormat="1" applyFont="1" applyFill="1" applyBorder="1" applyAlignment="1">
      <alignment horizontal="right" vertical="center"/>
    </xf>
    <xf numFmtId="2" fontId="30" fillId="3" borderId="7" xfId="49" applyNumberFormat="1" applyFont="1" applyFill="1" applyBorder="1" applyAlignment="1">
      <alignment horizontal="right" vertical="center"/>
    </xf>
    <xf numFmtId="2" fontId="42" fillId="3" borderId="7" xfId="49" applyNumberFormat="1" applyFont="1" applyFill="1" applyBorder="1" applyAlignment="1">
      <alignment horizontal="right" vertical="center"/>
    </xf>
    <xf numFmtId="2" fontId="30" fillId="0" borderId="7" xfId="49" applyNumberFormat="1" applyFont="1" applyFill="1" applyBorder="1" applyAlignment="1">
      <alignment horizontal="right" vertical="center"/>
    </xf>
    <xf numFmtId="2" fontId="36" fillId="3" borderId="58" xfId="49" applyNumberFormat="1" applyFont="1" applyFill="1" applyBorder="1" applyAlignment="1">
      <alignment horizontal="right" vertical="center"/>
    </xf>
    <xf numFmtId="0" fontId="42" fillId="3" borderId="22" xfId="73" applyFont="1" applyFill="1" applyBorder="1" applyAlignment="1">
      <alignment horizontal="left" vertical="center" wrapText="1"/>
    </xf>
    <xf numFmtId="2" fontId="36" fillId="3" borderId="22" xfId="73" applyNumberFormat="1" applyFont="1" applyFill="1" applyBorder="1" applyAlignment="1">
      <alignment horizontal="right" vertical="center"/>
    </xf>
    <xf numFmtId="2" fontId="36" fillId="3" borderId="31" xfId="73" applyNumberFormat="1" applyFont="1" applyFill="1" applyBorder="1" applyAlignment="1">
      <alignment horizontal="right" vertical="center"/>
    </xf>
    <xf numFmtId="1" fontId="60" fillId="0" borderId="0" xfId="73" applyNumberFormat="1" applyFont="1" applyFill="1" applyAlignment="1" applyProtection="1"/>
    <xf numFmtId="2" fontId="60" fillId="0" borderId="0" xfId="73" applyNumberFormat="1" applyFont="1" applyFill="1" applyAlignment="1" applyProtection="1"/>
    <xf numFmtId="0" fontId="60" fillId="0" borderId="0" xfId="73" applyNumberFormat="1" applyFont="1" applyFill="1" applyAlignment="1" applyProtection="1"/>
    <xf numFmtId="2" fontId="10" fillId="0" borderId="0" xfId="73" applyNumberFormat="1" applyFont="1" applyFill="1" applyAlignment="1" applyProtection="1"/>
    <xf numFmtId="0" fontId="34" fillId="0" borderId="0" xfId="2" applyFont="1" applyAlignment="1">
      <alignment vertical="center" wrapText="1"/>
    </xf>
    <xf numFmtId="49" fontId="34" fillId="0" borderId="0" xfId="2" applyNumberFormat="1" applyFont="1" applyAlignment="1">
      <alignment horizontal="center" vertical="center" wrapText="1"/>
    </xf>
    <xf numFmtId="4" fontId="34" fillId="0" borderId="0" xfId="2" applyNumberFormat="1" applyFont="1" applyAlignment="1">
      <alignment horizontal="right" vertical="center" wrapText="1"/>
    </xf>
    <xf numFmtId="4" fontId="34" fillId="0" borderId="0" xfId="2" applyNumberFormat="1" applyFont="1" applyAlignment="1">
      <alignment vertical="center" wrapText="1"/>
    </xf>
    <xf numFmtId="0" fontId="34" fillId="0" borderId="0" xfId="2" applyFont="1" applyAlignment="1">
      <alignment horizontal="left" vertical="center" wrapText="1" indent="36"/>
    </xf>
    <xf numFmtId="0" fontId="62" fillId="0" borderId="0" xfId="2" applyFont="1" applyAlignment="1">
      <alignment vertical="center" wrapText="1"/>
    </xf>
    <xf numFmtId="0" fontId="34" fillId="0" borderId="0" xfId="2" applyFont="1" applyAlignment="1">
      <alignment horizontal="center" vertical="center" wrapText="1"/>
    </xf>
    <xf numFmtId="4" fontId="42" fillId="0" borderId="0" xfId="2" applyNumberFormat="1" applyFont="1" applyBorder="1" applyAlignment="1">
      <alignment horizontal="center" vertical="center" wrapText="1"/>
    </xf>
    <xf numFmtId="0" fontId="34" fillId="0" borderId="21" xfId="2" applyFont="1" applyBorder="1" applyAlignment="1">
      <alignment horizontal="center" vertical="center" wrapText="1"/>
    </xf>
    <xf numFmtId="49" fontId="34" fillId="0" borderId="22" xfId="2" applyNumberFormat="1" applyFont="1" applyBorder="1" applyAlignment="1">
      <alignment horizontal="center" vertical="center" wrapText="1"/>
    </xf>
    <xf numFmtId="4" fontId="34" fillId="0" borderId="55" xfId="2" applyNumberFormat="1" applyFont="1" applyFill="1" applyBorder="1" applyAlignment="1">
      <alignment horizontal="center" vertical="center" wrapText="1"/>
    </xf>
    <xf numFmtId="4" fontId="34" fillId="0" borderId="22" xfId="2" applyNumberFormat="1" applyFont="1" applyFill="1" applyBorder="1" applyAlignment="1">
      <alignment horizontal="center" vertical="center" wrapText="1"/>
    </xf>
    <xf numFmtId="0" fontId="34" fillId="0" borderId="31" xfId="2" applyFont="1" applyFill="1" applyBorder="1" applyAlignment="1">
      <alignment horizontal="center" vertical="center" wrapText="1"/>
    </xf>
    <xf numFmtId="0" fontId="62" fillId="0" borderId="0" xfId="2" applyFont="1" applyAlignment="1">
      <alignment horizontal="center" vertical="center" wrapText="1"/>
    </xf>
    <xf numFmtId="0" fontId="30" fillId="3" borderId="23" xfId="2" applyFont="1" applyFill="1" applyBorder="1" applyAlignment="1">
      <alignment horizontal="left" vertical="center" wrapText="1"/>
    </xf>
    <xf numFmtId="49" fontId="30" fillId="0" borderId="24" xfId="2" applyNumberFormat="1" applyFont="1" applyFill="1" applyBorder="1" applyAlignment="1">
      <alignment horizontal="center" vertical="center" wrapText="1"/>
    </xf>
    <xf numFmtId="0" fontId="30" fillId="0" borderId="4" xfId="2" applyFont="1" applyFill="1" applyBorder="1" applyAlignment="1">
      <alignment vertical="center" wrapText="1"/>
    </xf>
    <xf numFmtId="0" fontId="30" fillId="2" borderId="23" xfId="2" applyFont="1" applyFill="1" applyBorder="1" applyAlignment="1">
      <alignment horizontal="left" vertical="center" wrapText="1"/>
    </xf>
    <xf numFmtId="0" fontId="93" fillId="0" borderId="0" xfId="2" applyFont="1" applyAlignment="1">
      <alignment horizontal="center" vertical="center" wrapText="1"/>
    </xf>
    <xf numFmtId="0" fontId="34" fillId="0" borderId="4" xfId="2" applyFont="1" applyFill="1" applyBorder="1" applyAlignment="1">
      <alignment vertical="center" wrapText="1"/>
    </xf>
    <xf numFmtId="14" fontId="34" fillId="2" borderId="5" xfId="2" applyNumberFormat="1" applyFont="1" applyFill="1" applyBorder="1" applyAlignment="1">
      <alignment horizontal="center" vertical="center" wrapText="1"/>
    </xf>
    <xf numFmtId="0" fontId="30" fillId="2" borderId="6" xfId="2" applyFont="1" applyFill="1" applyBorder="1" applyAlignment="1">
      <alignment horizontal="left" vertical="center" wrapText="1"/>
    </xf>
    <xf numFmtId="49" fontId="30" fillId="0" borderId="53" xfId="2" applyNumberFormat="1" applyFont="1" applyFill="1" applyBorder="1" applyAlignment="1">
      <alignment horizontal="center" vertical="center" wrapText="1"/>
    </xf>
    <xf numFmtId="49" fontId="30" fillId="0" borderId="5" xfId="2" applyNumberFormat="1" applyFont="1" applyFill="1" applyBorder="1" applyAlignment="1">
      <alignment horizontal="center" vertical="center" wrapText="1"/>
    </xf>
    <xf numFmtId="0" fontId="30" fillId="2" borderId="4" xfId="2" applyFont="1" applyFill="1" applyBorder="1" applyAlignment="1">
      <alignment vertical="center" wrapText="1"/>
    </xf>
    <xf numFmtId="0" fontId="30" fillId="2" borderId="25" xfId="2" applyFont="1" applyFill="1" applyBorder="1" applyAlignment="1">
      <alignment horizontal="left" vertical="center" wrapText="1"/>
    </xf>
    <xf numFmtId="0" fontId="34" fillId="0" borderId="58" xfId="2" applyFont="1" applyFill="1" applyBorder="1" applyAlignment="1">
      <alignment vertical="center" wrapText="1"/>
    </xf>
    <xf numFmtId="0" fontId="30" fillId="2" borderId="10" xfId="2" applyFont="1" applyFill="1" applyBorder="1" applyAlignment="1">
      <alignment horizontal="left" vertical="center" wrapText="1"/>
    </xf>
    <xf numFmtId="49" fontId="34" fillId="0" borderId="9" xfId="73" applyNumberFormat="1" applyFont="1" applyFill="1" applyBorder="1" applyAlignment="1">
      <alignment horizontal="center" vertical="center" wrapText="1"/>
    </xf>
    <xf numFmtId="0" fontId="34" fillId="0" borderId="8" xfId="2" applyFont="1" applyFill="1" applyBorder="1" applyAlignment="1">
      <alignment vertical="center" wrapText="1"/>
    </xf>
    <xf numFmtId="49" fontId="30" fillId="2" borderId="5" xfId="2" applyNumberFormat="1" applyFont="1" applyFill="1" applyBorder="1" applyAlignment="1">
      <alignment horizontal="center" vertical="center" wrapText="1"/>
    </xf>
    <xf numFmtId="4" fontId="34" fillId="2" borderId="5" xfId="2" applyNumberFormat="1" applyFont="1" applyFill="1" applyBorder="1" applyAlignment="1">
      <alignment horizontal="center" vertical="center" wrapText="1"/>
    </xf>
    <xf numFmtId="0" fontId="34" fillId="2" borderId="6" xfId="2" applyFont="1" applyFill="1" applyBorder="1" applyAlignment="1">
      <alignment horizontal="left" vertical="center" wrapText="1"/>
    </xf>
    <xf numFmtId="49" fontId="34" fillId="2" borderId="5" xfId="2" applyNumberFormat="1" applyFont="1" applyFill="1" applyBorder="1" applyAlignment="1">
      <alignment horizontal="center" vertical="center" wrapText="1"/>
    </xf>
    <xf numFmtId="0" fontId="62" fillId="2" borderId="0" xfId="2" applyFont="1" applyFill="1" applyAlignment="1">
      <alignment horizontal="center" vertical="center" wrapText="1"/>
    </xf>
    <xf numFmtId="49" fontId="34" fillId="0" borderId="5" xfId="2" applyNumberFormat="1" applyFont="1" applyFill="1" applyBorder="1" applyAlignment="1">
      <alignment horizontal="center" vertical="center" wrapText="1"/>
    </xf>
    <xf numFmtId="0" fontId="30" fillId="2" borderId="6" xfId="2" applyFont="1" applyFill="1" applyBorder="1" applyAlignment="1">
      <alignment vertical="center" wrapText="1"/>
    </xf>
    <xf numFmtId="0" fontId="93" fillId="0" borderId="0" xfId="2" applyFont="1" applyAlignment="1">
      <alignment vertical="center" wrapText="1"/>
    </xf>
    <xf numFmtId="0" fontId="34" fillId="0" borderId="4" xfId="73" applyFont="1" applyFill="1" applyBorder="1" applyAlignment="1">
      <alignment vertical="center" wrapText="1"/>
    </xf>
    <xf numFmtId="0" fontId="30" fillId="0" borderId="6" xfId="2" applyFont="1" applyFill="1" applyBorder="1" applyAlignment="1">
      <alignment horizontal="left" vertical="center" wrapText="1"/>
    </xf>
    <xf numFmtId="0" fontId="62" fillId="0" borderId="0" xfId="2" applyFont="1" applyFill="1" applyAlignment="1">
      <alignment horizontal="center" vertical="center" wrapText="1"/>
    </xf>
    <xf numFmtId="0" fontId="39" fillId="2" borderId="6" xfId="2" applyFont="1" applyFill="1" applyBorder="1" applyAlignment="1">
      <alignment horizontal="left" vertical="center" wrapText="1"/>
    </xf>
    <xf numFmtId="4" fontId="42" fillId="2" borderId="5" xfId="2" applyNumberFormat="1" applyFont="1" applyFill="1" applyBorder="1" applyAlignment="1">
      <alignment horizontal="center" vertical="center" wrapText="1"/>
    </xf>
    <xf numFmtId="0" fontId="93" fillId="0" borderId="0" xfId="2" applyFont="1" applyFill="1" applyAlignment="1">
      <alignment horizontal="center" vertical="center" wrapText="1"/>
    </xf>
    <xf numFmtId="14" fontId="7" fillId="2" borderId="5" xfId="2" applyNumberFormat="1" applyFont="1" applyFill="1" applyBorder="1" applyAlignment="1">
      <alignment horizontal="center" vertical="center" wrapText="1"/>
    </xf>
    <xf numFmtId="14" fontId="34" fillId="0" borderId="7" xfId="2" applyNumberFormat="1" applyFont="1" applyFill="1" applyBorder="1" applyAlignment="1">
      <alignment horizontal="center" vertical="center" wrapText="1"/>
    </xf>
    <xf numFmtId="49" fontId="34" fillId="2" borderId="7" xfId="2" applyNumberFormat="1" applyFont="1" applyFill="1" applyBorder="1" applyAlignment="1">
      <alignment horizontal="center" vertical="center" wrapText="1"/>
    </xf>
    <xf numFmtId="49" fontId="30" fillId="2" borderId="59" xfId="2" applyNumberFormat="1" applyFont="1" applyFill="1" applyBorder="1" applyAlignment="1">
      <alignment horizontal="center" vertical="center" wrapText="1"/>
    </xf>
    <xf numFmtId="4" fontId="30" fillId="2" borderId="52" xfId="2" applyNumberFormat="1" applyFont="1" applyFill="1" applyBorder="1" applyAlignment="1">
      <alignment horizontal="center" vertical="center" wrapText="1"/>
    </xf>
    <xf numFmtId="4" fontId="42" fillId="2" borderId="55" xfId="2" applyNumberFormat="1" applyFont="1" applyFill="1" applyBorder="1" applyAlignment="1">
      <alignment horizontal="center" vertical="center" wrapText="1"/>
    </xf>
    <xf numFmtId="4" fontId="42" fillId="2" borderId="22" xfId="2" applyNumberFormat="1" applyFont="1" applyFill="1" applyBorder="1" applyAlignment="1">
      <alignment vertical="center" wrapText="1"/>
    </xf>
    <xf numFmtId="4" fontId="62" fillId="0" borderId="0" xfId="2" applyNumberFormat="1" applyFont="1" applyAlignment="1">
      <alignment vertical="center" wrapText="1"/>
    </xf>
    <xf numFmtId="49" fontId="30" fillId="2" borderId="53" xfId="2" applyNumberFormat="1" applyFont="1" applyFill="1" applyBorder="1" applyAlignment="1">
      <alignment horizontal="center" vertical="center" wrapText="1"/>
    </xf>
    <xf numFmtId="0" fontId="34" fillId="2" borderId="4" xfId="73" applyFont="1" applyFill="1" applyBorder="1" applyAlignment="1">
      <alignment vertical="center" wrapText="1"/>
    </xf>
    <xf numFmtId="0" fontId="62" fillId="0" borderId="0" xfId="2" applyFont="1" applyFill="1" applyAlignment="1">
      <alignment vertical="center" wrapText="1"/>
    </xf>
    <xf numFmtId="49" fontId="30" fillId="2" borderId="6" xfId="2" applyNumberFormat="1" applyFont="1" applyFill="1" applyBorder="1" applyAlignment="1">
      <alignment horizontal="center" vertical="center" wrapText="1"/>
    </xf>
    <xf numFmtId="4" fontId="34" fillId="2" borderId="52" xfId="2" applyNumberFormat="1" applyFont="1" applyFill="1" applyBorder="1" applyAlignment="1">
      <alignment horizontal="center" vertical="center" wrapText="1"/>
    </xf>
    <xf numFmtId="4" fontId="34" fillId="0" borderId="2" xfId="2" applyNumberFormat="1" applyFont="1" applyFill="1" applyBorder="1" applyAlignment="1">
      <alignment horizontal="center" vertical="center" wrapText="1"/>
    </xf>
    <xf numFmtId="4" fontId="34" fillId="3" borderId="31" xfId="2" applyNumberFormat="1" applyFont="1" applyFill="1" applyBorder="1" applyAlignment="1">
      <alignment horizontal="center" vertical="center" wrapText="1"/>
    </xf>
    <xf numFmtId="4" fontId="42" fillId="3" borderId="55" xfId="2" applyNumberFormat="1" applyFont="1" applyFill="1" applyBorder="1" applyAlignment="1">
      <alignment horizontal="center" vertical="center" wrapText="1"/>
    </xf>
    <xf numFmtId="0" fontId="34" fillId="0" borderId="0" xfId="2" applyFont="1" applyBorder="1" applyAlignment="1">
      <alignment vertical="center" wrapText="1"/>
    </xf>
    <xf numFmtId="0" fontId="81" fillId="0" borderId="0" xfId="2" applyFont="1" applyBorder="1" applyAlignment="1">
      <alignment vertical="center" wrapText="1"/>
    </xf>
    <xf numFmtId="4" fontId="64" fillId="0" borderId="0" xfId="2" applyNumberFormat="1" applyFont="1" applyBorder="1" applyAlignment="1">
      <alignment vertical="center" wrapText="1"/>
    </xf>
    <xf numFmtId="4" fontId="81" fillId="0" borderId="0" xfId="2" applyNumberFormat="1" applyFont="1" applyBorder="1" applyAlignment="1">
      <alignment vertical="center" wrapText="1"/>
    </xf>
    <xf numFmtId="49" fontId="62" fillId="0" borderId="0" xfId="2" applyNumberFormat="1" applyFont="1" applyAlignment="1">
      <alignment horizontal="center" vertical="center" wrapText="1"/>
    </xf>
    <xf numFmtId="4" fontId="62" fillId="0" borderId="0" xfId="2" applyNumberFormat="1" applyFont="1" applyAlignment="1">
      <alignment horizontal="right" vertical="center" wrapText="1"/>
    </xf>
    <xf numFmtId="0" fontId="36" fillId="0" borderId="17" xfId="58" applyFont="1" applyFill="1" applyBorder="1" applyAlignment="1">
      <alignment horizontal="center" vertical="center"/>
    </xf>
    <xf numFmtId="0" fontId="36" fillId="0" borderId="18" xfId="58" applyFont="1" applyFill="1" applyBorder="1" applyAlignment="1">
      <alignment horizontal="center" vertical="center" wrapText="1"/>
    </xf>
    <xf numFmtId="0" fontId="89" fillId="0" borderId="38" xfId="2" applyFont="1" applyBorder="1" applyAlignment="1">
      <alignment horizontal="center" vertical="distributed" wrapText="1"/>
    </xf>
    <xf numFmtId="0" fontId="89" fillId="0" borderId="39" xfId="2" applyFont="1" applyBorder="1" applyAlignment="1">
      <alignment horizontal="center" vertical="distributed" wrapText="1"/>
    </xf>
    <xf numFmtId="0" fontId="89" fillId="0" borderId="40" xfId="2" applyFont="1" applyBorder="1" applyAlignment="1">
      <alignment horizontal="center" vertical="distributed" wrapText="1"/>
    </xf>
    <xf numFmtId="0" fontId="34" fillId="3" borderId="0" xfId="73" applyFont="1" applyFill="1" applyBorder="1" applyAlignment="1">
      <alignment horizontal="center" vertical="center" wrapText="1"/>
    </xf>
    <xf numFmtId="49" fontId="34" fillId="3" borderId="0" xfId="73" applyNumberFormat="1" applyFont="1" applyFill="1" applyBorder="1" applyAlignment="1">
      <alignment horizontal="center" vertical="center" wrapText="1"/>
    </xf>
    <xf numFmtId="0" fontId="42" fillId="3" borderId="0" xfId="73" applyFont="1" applyFill="1" applyBorder="1" applyAlignment="1">
      <alignment horizontal="center" vertical="center" wrapText="1"/>
    </xf>
    <xf numFmtId="0" fontId="75" fillId="0" borderId="43" xfId="77" applyFont="1" applyFill="1" applyBorder="1" applyAlignment="1">
      <alignment horizontal="center" vertical="center"/>
    </xf>
    <xf numFmtId="0" fontId="79" fillId="0" borderId="43" xfId="77" applyFont="1" applyFill="1" applyBorder="1" applyAlignment="1">
      <alignment horizontal="center" vertical="center"/>
    </xf>
    <xf numFmtId="1" fontId="18" fillId="0" borderId="0" xfId="58" applyNumberFormat="1" applyAlignment="1">
      <alignment horizontal="right"/>
    </xf>
    <xf numFmtId="0" fontId="42" fillId="3" borderId="5" xfId="2" applyFont="1" applyFill="1" applyBorder="1" applyAlignment="1">
      <alignment horizontal="left" vertical="center" wrapText="1"/>
    </xf>
    <xf numFmtId="2" fontId="36" fillId="3" borderId="5" xfId="49" applyNumberFormat="1" applyFont="1" applyFill="1" applyBorder="1" applyAlignment="1">
      <alignment vertical="center"/>
    </xf>
    <xf numFmtId="0" fontId="10" fillId="3" borderId="20" xfId="2" applyFont="1" applyFill="1" applyBorder="1" applyAlignment="1">
      <alignment horizontal="left" vertical="center" wrapText="1"/>
    </xf>
    <xf numFmtId="2" fontId="36" fillId="3" borderId="24" xfId="49" applyNumberFormat="1" applyFont="1" applyFill="1" applyBorder="1" applyAlignment="1">
      <alignment horizontal="right" vertical="center"/>
    </xf>
    <xf numFmtId="2" fontId="36" fillId="3" borderId="57" xfId="49" applyNumberFormat="1" applyFont="1" applyFill="1" applyBorder="1" applyAlignment="1">
      <alignment horizontal="right" vertical="center"/>
    </xf>
    <xf numFmtId="0" fontId="67" fillId="0" borderId="22" xfId="73" applyFont="1" applyFill="1" applyBorder="1" applyAlignment="1">
      <alignment horizontal="center" vertical="center" wrapText="1"/>
    </xf>
    <xf numFmtId="1" fontId="67" fillId="0" borderId="22" xfId="49" applyNumberFormat="1" applyFont="1" applyFill="1" applyBorder="1" applyAlignment="1">
      <alignment vertical="center"/>
    </xf>
    <xf numFmtId="1" fontId="67" fillId="0" borderId="31" xfId="49" applyNumberFormat="1" applyFont="1" applyFill="1" applyBorder="1" applyAlignment="1">
      <alignment vertical="center"/>
    </xf>
    <xf numFmtId="0" fontId="34" fillId="3" borderId="24" xfId="73" applyFont="1" applyFill="1" applyBorder="1" applyAlignment="1">
      <alignment horizontal="left" vertical="center" wrapText="1"/>
    </xf>
    <xf numFmtId="2" fontId="30" fillId="3" borderId="24" xfId="49" applyNumberFormat="1" applyFont="1" applyFill="1" applyBorder="1" applyAlignment="1">
      <alignment horizontal="right" vertical="center"/>
    </xf>
    <xf numFmtId="2" fontId="69" fillId="3" borderId="24" xfId="49" applyNumberFormat="1" applyFont="1" applyFill="1" applyBorder="1" applyAlignment="1">
      <alignment horizontal="right" vertical="center"/>
    </xf>
    <xf numFmtId="2" fontId="69" fillId="0" borderId="24" xfId="49" applyNumberFormat="1" applyFont="1" applyFill="1" applyBorder="1" applyAlignment="1">
      <alignment horizontal="right" vertical="center"/>
    </xf>
    <xf numFmtId="2" fontId="30" fillId="3" borderId="57" xfId="49" applyNumberFormat="1" applyFont="1" applyFill="1" applyBorder="1" applyAlignment="1">
      <alignment horizontal="right" vertical="center"/>
    </xf>
    <xf numFmtId="49" fontId="42" fillId="3" borderId="3" xfId="73" applyNumberFormat="1" applyFont="1" applyFill="1" applyBorder="1" applyAlignment="1">
      <alignment horizontal="center" vertical="center" wrapText="1"/>
    </xf>
    <xf numFmtId="49" fontId="42" fillId="3" borderId="2" xfId="73" applyNumberFormat="1" applyFont="1" applyFill="1" applyBorder="1" applyAlignment="1">
      <alignment horizontal="center" vertical="center" wrapText="1"/>
    </xf>
    <xf numFmtId="0" fontId="42" fillId="3" borderId="2" xfId="73" applyFont="1" applyFill="1" applyBorder="1" applyAlignment="1">
      <alignment horizontal="center" vertical="center" wrapText="1"/>
    </xf>
    <xf numFmtId="2" fontId="36" fillId="0" borderId="1" xfId="49" applyNumberFormat="1" applyFont="1" applyFill="1" applyBorder="1" applyAlignment="1">
      <alignment horizontal="right" vertical="center"/>
    </xf>
    <xf numFmtId="49" fontId="34" fillId="3" borderId="24" xfId="73" applyNumberFormat="1" applyFont="1" applyFill="1" applyBorder="1" applyAlignment="1">
      <alignment horizontal="center" vertical="center" wrapText="1"/>
    </xf>
    <xf numFmtId="2" fontId="42" fillId="3" borderId="24" xfId="49" applyNumberFormat="1" applyFont="1" applyFill="1" applyBorder="1" applyAlignment="1">
      <alignment horizontal="right" vertical="center"/>
    </xf>
    <xf numFmtId="2" fontId="42" fillId="0" borderId="24" xfId="49" applyNumberFormat="1" applyFont="1" applyFill="1" applyBorder="1" applyAlignment="1">
      <alignment horizontal="right" vertical="center"/>
    </xf>
    <xf numFmtId="49" fontId="34" fillId="3" borderId="9" xfId="73" applyNumberFormat="1" applyFont="1" applyFill="1" applyBorder="1" applyAlignment="1">
      <alignment horizontal="center" vertical="center" wrapText="1"/>
    </xf>
    <xf numFmtId="49" fontId="34" fillId="3" borderId="2" xfId="73" applyNumberFormat="1" applyFont="1" applyFill="1" applyBorder="1" applyAlignment="1">
      <alignment horizontal="center" vertical="center" wrapText="1"/>
    </xf>
    <xf numFmtId="2" fontId="36" fillId="0" borderId="2" xfId="49" applyNumberFormat="1" applyFont="1" applyFill="1" applyBorder="1" applyAlignment="1">
      <alignment horizontal="right" vertical="center"/>
    </xf>
    <xf numFmtId="49" fontId="34" fillId="0" borderId="25" xfId="73" applyNumberFormat="1" applyFont="1" applyFill="1" applyBorder="1" applyAlignment="1">
      <alignment horizontal="center" vertical="center" wrapText="1"/>
    </xf>
    <xf numFmtId="2" fontId="36" fillId="0" borderId="7" xfId="49" applyNumberFormat="1" applyFont="1" applyFill="1" applyBorder="1" applyAlignment="1">
      <alignment horizontal="right" vertical="center"/>
    </xf>
    <xf numFmtId="2" fontId="42" fillId="0" borderId="7" xfId="49" applyNumberFormat="1" applyFont="1" applyFill="1" applyBorder="1" applyAlignment="1">
      <alignment horizontal="right" vertical="center"/>
    </xf>
    <xf numFmtId="2" fontId="34" fillId="0" borderId="7" xfId="49" applyNumberFormat="1" applyFont="1" applyFill="1" applyBorder="1" applyAlignment="1">
      <alignment horizontal="right" vertical="center"/>
    </xf>
    <xf numFmtId="2" fontId="36" fillId="0" borderId="58" xfId="49" applyNumberFormat="1" applyFont="1" applyFill="1" applyBorder="1" applyAlignment="1">
      <alignment horizontal="right" vertical="center"/>
    </xf>
    <xf numFmtId="49" fontId="42" fillId="0" borderId="23" xfId="73" applyNumberFormat="1" applyFont="1" applyFill="1" applyBorder="1" applyAlignment="1">
      <alignment horizontal="center" vertical="center" wrapText="1"/>
    </xf>
    <xf numFmtId="49" fontId="34" fillId="0" borderId="24" xfId="73" applyNumberFormat="1" applyFont="1" applyFill="1" applyBorder="1" applyAlignment="1">
      <alignment horizontal="center" vertical="center" wrapText="1"/>
    </xf>
    <xf numFmtId="49" fontId="42" fillId="0" borderId="10" xfId="73" applyNumberFormat="1" applyFont="1" applyFill="1" applyBorder="1" applyAlignment="1">
      <alignment horizontal="center" vertical="center" wrapText="1"/>
    </xf>
    <xf numFmtId="0" fontId="42" fillId="0" borderId="9" xfId="73" applyFont="1" applyFill="1" applyBorder="1" applyAlignment="1">
      <alignment horizontal="left" vertical="center" wrapText="1"/>
    </xf>
    <xf numFmtId="2" fontId="42" fillId="0" borderId="9" xfId="49" applyNumberFormat="1" applyFont="1" applyFill="1" applyBorder="1" applyAlignment="1">
      <alignment horizontal="right" vertical="center"/>
    </xf>
    <xf numFmtId="49" fontId="42" fillId="0" borderId="3" xfId="73" applyNumberFormat="1" applyFont="1" applyFill="1" applyBorder="1" applyAlignment="1">
      <alignment horizontal="center" vertical="center" wrapText="1"/>
    </xf>
    <xf numFmtId="49" fontId="34" fillId="0" borderId="2" xfId="73" applyNumberFormat="1" applyFont="1" applyFill="1" applyBorder="1" applyAlignment="1">
      <alignment horizontal="center" vertical="center" wrapText="1"/>
    </xf>
    <xf numFmtId="0" fontId="42" fillId="0" borderId="2" xfId="73" applyFont="1" applyFill="1" applyBorder="1" applyAlignment="1">
      <alignment horizontal="left" vertical="center" wrapText="1"/>
    </xf>
    <xf numFmtId="2" fontId="42" fillId="0" borderId="2" xfId="49" applyNumberFormat="1" applyFont="1" applyFill="1" applyBorder="1" applyAlignment="1">
      <alignment horizontal="right" vertical="center"/>
    </xf>
    <xf numFmtId="0" fontId="7" fillId="2" borderId="7" xfId="81" quotePrefix="1" applyFont="1" applyFill="1" applyBorder="1" applyAlignment="1">
      <alignment horizontal="left" vertical="center" wrapText="1"/>
    </xf>
    <xf numFmtId="2" fontId="34" fillId="3" borderId="7" xfId="49" applyNumberFormat="1" applyFont="1" applyFill="1" applyBorder="1" applyAlignment="1">
      <alignment horizontal="right" vertical="center"/>
    </xf>
    <xf numFmtId="49" fontId="34" fillId="3" borderId="23" xfId="73" applyNumberFormat="1" applyFont="1" applyFill="1" applyBorder="1" applyAlignment="1">
      <alignment horizontal="center" vertical="center" wrapText="1"/>
    </xf>
    <xf numFmtId="2" fontId="34" fillId="3" borderId="24" xfId="49" applyNumberFormat="1" applyFont="1" applyFill="1" applyBorder="1" applyAlignment="1">
      <alignment horizontal="right" vertical="center"/>
    </xf>
    <xf numFmtId="0" fontId="42" fillId="3" borderId="9" xfId="73" applyFont="1" applyFill="1" applyBorder="1" applyAlignment="1">
      <alignment horizontal="left" vertical="center" wrapText="1"/>
    </xf>
    <xf numFmtId="0" fontId="42" fillId="3" borderId="2" xfId="73" applyFont="1" applyFill="1" applyBorder="1" applyAlignment="1">
      <alignment horizontal="left" vertical="center" wrapText="1"/>
    </xf>
    <xf numFmtId="0" fontId="34" fillId="3" borderId="23" xfId="73" applyFont="1" applyFill="1" applyBorder="1" applyAlignment="1">
      <alignment horizontal="left" vertical="center" wrapText="1"/>
    </xf>
    <xf numFmtId="49" fontId="42" fillId="3" borderId="67" xfId="73" applyNumberFormat="1" applyFont="1" applyFill="1" applyBorder="1" applyAlignment="1">
      <alignment horizontal="center" vertical="center" wrapText="1"/>
    </xf>
    <xf numFmtId="0" fontId="42" fillId="3" borderId="10" xfId="73" applyFont="1" applyFill="1" applyBorder="1" applyAlignment="1">
      <alignment horizontal="center" vertical="center" wrapText="1"/>
    </xf>
    <xf numFmtId="49" fontId="42" fillId="3" borderId="68" xfId="73" applyNumberFormat="1" applyFont="1" applyFill="1" applyBorder="1" applyAlignment="1">
      <alignment horizontal="center" vertical="center" wrapText="1"/>
    </xf>
    <xf numFmtId="0" fontId="42" fillId="3" borderId="69" xfId="73" applyFont="1" applyFill="1" applyBorder="1" applyAlignment="1">
      <alignment horizontal="center" vertical="center" wrapText="1"/>
    </xf>
    <xf numFmtId="49" fontId="34" fillId="3" borderId="56" xfId="73" applyNumberFormat="1" applyFont="1" applyFill="1" applyBorder="1" applyAlignment="1">
      <alignment horizontal="center" vertical="center" wrapText="1"/>
    </xf>
    <xf numFmtId="49" fontId="34" fillId="3" borderId="67" xfId="73" applyNumberFormat="1" applyFont="1" applyFill="1" applyBorder="1" applyAlignment="1">
      <alignment horizontal="center" vertical="center" wrapText="1"/>
    </xf>
    <xf numFmtId="49" fontId="34" fillId="3" borderId="68" xfId="73" applyNumberFormat="1" applyFont="1" applyFill="1" applyBorder="1" applyAlignment="1">
      <alignment horizontal="center" vertical="center" wrapText="1"/>
    </xf>
    <xf numFmtId="0" fontId="42" fillId="3" borderId="3" xfId="73" applyFont="1" applyFill="1" applyBorder="1" applyAlignment="1">
      <alignment horizontal="center" vertical="center" wrapText="1"/>
    </xf>
    <xf numFmtId="49" fontId="34" fillId="3" borderId="25" xfId="2" applyNumberFormat="1" applyFont="1" applyFill="1" applyBorder="1" applyAlignment="1">
      <alignment horizontal="center" vertical="center" wrapText="1"/>
    </xf>
    <xf numFmtId="0" fontId="34" fillId="3" borderId="7" xfId="2" applyFont="1" applyFill="1" applyBorder="1" applyAlignment="1">
      <alignment horizontal="left" vertical="center" wrapText="1"/>
    </xf>
    <xf numFmtId="49" fontId="34" fillId="0" borderId="20" xfId="73" applyNumberFormat="1" applyFont="1" applyFill="1" applyBorder="1" applyAlignment="1">
      <alignment horizontal="center" vertical="center" wrapText="1"/>
    </xf>
    <xf numFmtId="49" fontId="34" fillId="0" borderId="51" xfId="73" applyNumberFormat="1" applyFont="1" applyFill="1" applyBorder="1" applyAlignment="1">
      <alignment horizontal="center" vertical="center" wrapText="1"/>
    </xf>
    <xf numFmtId="0" fontId="42" fillId="0" borderId="23" xfId="73" applyFont="1" applyFill="1" applyBorder="1" applyAlignment="1">
      <alignment horizontal="left" vertical="center" wrapText="1"/>
    </xf>
    <xf numFmtId="49" fontId="34" fillId="0" borderId="67" xfId="73" applyNumberFormat="1" applyFont="1" applyFill="1" applyBorder="1" applyAlignment="1">
      <alignment horizontal="center" vertical="center" wrapText="1"/>
    </xf>
    <xf numFmtId="0" fontId="42" fillId="0" borderId="10" xfId="73" applyFont="1" applyFill="1" applyBorder="1" applyAlignment="1">
      <alignment horizontal="left" vertical="center" wrapText="1"/>
    </xf>
    <xf numFmtId="49" fontId="34" fillId="0" borderId="68" xfId="73" applyNumberFormat="1" applyFont="1" applyFill="1" applyBorder="1" applyAlignment="1">
      <alignment horizontal="center" vertical="center" wrapText="1"/>
    </xf>
    <xf numFmtId="0" fontId="42" fillId="0" borderId="3" xfId="73" applyFont="1" applyFill="1" applyBorder="1" applyAlignment="1">
      <alignment horizontal="left" vertical="center" wrapText="1"/>
    </xf>
    <xf numFmtId="49" fontId="34" fillId="3" borderId="20" xfId="73" applyNumberFormat="1" applyFont="1" applyFill="1" applyBorder="1" applyAlignment="1">
      <alignment horizontal="center" vertical="center" wrapText="1"/>
    </xf>
    <xf numFmtId="49" fontId="34" fillId="3" borderId="51" xfId="73" applyNumberFormat="1" applyFont="1" applyFill="1" applyBorder="1" applyAlignment="1">
      <alignment horizontal="center" vertical="center" wrapText="1"/>
    </xf>
    <xf numFmtId="0" fontId="34" fillId="3" borderId="19" xfId="73" applyFont="1" applyFill="1" applyBorder="1" applyAlignment="1">
      <alignment horizontal="left" vertical="center" wrapText="1"/>
    </xf>
    <xf numFmtId="0" fontId="42" fillId="3" borderId="3" xfId="73" applyFont="1" applyFill="1" applyBorder="1" applyAlignment="1">
      <alignment horizontal="left" vertical="center" wrapText="1"/>
    </xf>
    <xf numFmtId="49" fontId="34" fillId="3" borderId="19" xfId="73" applyNumberFormat="1" applyFont="1" applyFill="1" applyBorder="1" applyAlignment="1">
      <alignment horizontal="center" vertical="center" wrapText="1"/>
    </xf>
    <xf numFmtId="49" fontId="42" fillId="3" borderId="17" xfId="73" applyNumberFormat="1" applyFont="1" applyFill="1" applyBorder="1" applyAlignment="1">
      <alignment horizontal="center" vertical="center" wrapText="1"/>
    </xf>
    <xf numFmtId="49" fontId="42" fillId="3" borderId="18" xfId="73" applyNumberFormat="1" applyFont="1" applyFill="1" applyBorder="1" applyAlignment="1">
      <alignment horizontal="center" vertical="center" wrapText="1"/>
    </xf>
    <xf numFmtId="49" fontId="42" fillId="3" borderId="49" xfId="73" applyNumberFormat="1" applyFont="1" applyFill="1" applyBorder="1" applyAlignment="1">
      <alignment horizontal="center" vertical="center" wrapText="1"/>
    </xf>
    <xf numFmtId="0" fontId="42" fillId="3" borderId="17" xfId="73" applyFont="1" applyFill="1" applyBorder="1" applyAlignment="1">
      <alignment horizontal="left" vertical="center" wrapText="1"/>
    </xf>
    <xf numFmtId="0" fontId="89" fillId="0" borderId="5" xfId="2" applyFont="1" applyBorder="1" applyAlignment="1">
      <alignment horizontal="left" vertical="top" wrapText="1"/>
    </xf>
    <xf numFmtId="2" fontId="89" fillId="0" borderId="5" xfId="2" applyNumberFormat="1" applyFont="1" applyBorder="1" applyAlignment="1">
      <alignment horizontal="right" vertical="top" wrapText="1"/>
    </xf>
    <xf numFmtId="2" fontId="89" fillId="0" borderId="5" xfId="2" applyNumberFormat="1" applyFont="1" applyFill="1" applyBorder="1" applyAlignment="1">
      <alignment horizontal="center" vertical="top" wrapText="1"/>
    </xf>
    <xf numFmtId="0" fontId="91" fillId="0" borderId="5" xfId="2" applyFont="1" applyBorder="1" applyAlignment="1">
      <alignment horizontal="left" vertical="top" wrapText="1"/>
    </xf>
    <xf numFmtId="2" fontId="91" fillId="0" borderId="5" xfId="2" applyNumberFormat="1" applyFont="1" applyBorder="1" applyAlignment="1">
      <alignment horizontal="right" vertical="top" wrapText="1"/>
    </xf>
    <xf numFmtId="2" fontId="91" fillId="0" borderId="5" xfId="2" applyNumberFormat="1" applyFont="1" applyFill="1" applyBorder="1" applyAlignment="1">
      <alignment horizontal="center" vertical="top" wrapText="1"/>
    </xf>
    <xf numFmtId="0" fontId="92" fillId="0" borderId="5" xfId="2" applyFont="1" applyBorder="1" applyAlignment="1">
      <alignment horizontal="left" vertical="top" wrapText="1"/>
    </xf>
    <xf numFmtId="2" fontId="92" fillId="0" borderId="5" xfId="2" applyNumberFormat="1" applyFont="1" applyBorder="1" applyAlignment="1">
      <alignment horizontal="right" vertical="top" wrapText="1"/>
    </xf>
    <xf numFmtId="2" fontId="92" fillId="0" borderId="5" xfId="2" applyNumberFormat="1" applyFont="1" applyFill="1" applyBorder="1" applyAlignment="1">
      <alignment horizontal="center" vertical="top" wrapText="1"/>
    </xf>
    <xf numFmtId="0" fontId="90" fillId="0" borderId="5" xfId="2" applyFont="1" applyBorder="1" applyAlignment="1">
      <alignment horizontal="left" vertical="top" wrapText="1"/>
    </xf>
    <xf numFmtId="2" fontId="90" fillId="0" borderId="5" xfId="2" applyNumberFormat="1" applyFont="1" applyFill="1" applyBorder="1" applyAlignment="1">
      <alignment horizontal="center" vertical="top" wrapText="1"/>
    </xf>
    <xf numFmtId="0" fontId="90" fillId="0" borderId="5" xfId="2" applyFont="1" applyFill="1" applyBorder="1" applyAlignment="1">
      <alignment horizontal="left" vertical="top" wrapText="1"/>
    </xf>
    <xf numFmtId="2" fontId="89" fillId="0" borderId="5" xfId="2" applyNumberFormat="1" applyFont="1" applyFill="1" applyBorder="1" applyAlignment="1">
      <alignment horizontal="right" vertical="top" wrapText="1"/>
    </xf>
    <xf numFmtId="0" fontId="92" fillId="0" borderId="5" xfId="2" applyFont="1" applyFill="1" applyBorder="1" applyAlignment="1">
      <alignment horizontal="left" vertical="top" wrapText="1"/>
    </xf>
    <xf numFmtId="2" fontId="91" fillId="0" borderId="5" xfId="2" applyNumberFormat="1" applyFont="1" applyFill="1" applyBorder="1" applyAlignment="1">
      <alignment horizontal="right" vertical="top" wrapText="1"/>
    </xf>
    <xf numFmtId="2" fontId="91" fillId="0" borderId="5" xfId="2" applyNumberFormat="1" applyFont="1" applyBorder="1" applyAlignment="1">
      <alignment horizontal="right" vertical="top"/>
    </xf>
    <xf numFmtId="2" fontId="91" fillId="0" borderId="5" xfId="2" applyNumberFormat="1" applyFont="1" applyFill="1" applyBorder="1" applyAlignment="1">
      <alignment horizontal="center" vertical="top"/>
    </xf>
    <xf numFmtId="2" fontId="92" fillId="0" borderId="5" xfId="2" applyNumberFormat="1" applyFont="1" applyBorder="1" applyAlignment="1">
      <alignment horizontal="right" vertical="top"/>
    </xf>
    <xf numFmtId="2" fontId="92" fillId="0" borderId="5" xfId="2" applyNumberFormat="1" applyFont="1" applyFill="1" applyBorder="1" applyAlignment="1">
      <alignment horizontal="center" vertical="top"/>
    </xf>
    <xf numFmtId="2" fontId="89" fillId="0" borderId="5" xfId="2" applyNumberFormat="1" applyFont="1" applyBorder="1" applyAlignment="1">
      <alignment horizontal="right" vertical="top"/>
    </xf>
    <xf numFmtId="2" fontId="90" fillId="0" borderId="5" xfId="2" applyNumberFormat="1" applyFont="1" applyFill="1" applyBorder="1" applyAlignment="1">
      <alignment horizontal="center" vertical="top"/>
    </xf>
    <xf numFmtId="0" fontId="89" fillId="0" borderId="24" xfId="2" applyFont="1" applyBorder="1" applyAlignment="1">
      <alignment horizontal="left" vertical="top" wrapText="1"/>
    </xf>
    <xf numFmtId="2" fontId="89" fillId="0" borderId="24" xfId="2" applyNumberFormat="1" applyFont="1" applyBorder="1" applyAlignment="1">
      <alignment horizontal="right" vertical="top" wrapText="1"/>
    </xf>
    <xf numFmtId="2" fontId="89" fillId="0" borderId="24" xfId="2" applyNumberFormat="1" applyFont="1" applyFill="1" applyBorder="1" applyAlignment="1">
      <alignment horizontal="center" vertical="top" wrapText="1"/>
    </xf>
    <xf numFmtId="0" fontId="92" fillId="0" borderId="7" xfId="2" applyFont="1" applyFill="1" applyBorder="1" applyAlignment="1">
      <alignment horizontal="left" vertical="top" wrapText="1"/>
    </xf>
    <xf numFmtId="2" fontId="91" fillId="0" borderId="7" xfId="2" applyNumberFormat="1" applyFont="1" applyFill="1" applyBorder="1" applyAlignment="1">
      <alignment horizontal="right" vertical="top" wrapText="1"/>
    </xf>
    <xf numFmtId="2" fontId="90" fillId="0" borderId="7" xfId="2" applyNumberFormat="1" applyFont="1" applyFill="1" applyBorder="1" applyAlignment="1">
      <alignment horizontal="center" vertical="top" wrapText="1"/>
    </xf>
    <xf numFmtId="2" fontId="92" fillId="0" borderId="7" xfId="2" applyNumberFormat="1" applyFont="1" applyFill="1" applyBorder="1" applyAlignment="1">
      <alignment horizontal="center" vertical="top" wrapText="1"/>
    </xf>
    <xf numFmtId="2" fontId="92" fillId="0" borderId="7" xfId="2" applyNumberFormat="1" applyFont="1" applyFill="1" applyBorder="1" applyAlignment="1">
      <alignment horizontal="left" vertical="top" wrapText="1"/>
    </xf>
    <xf numFmtId="2" fontId="92" fillId="0" borderId="7" xfId="2" applyNumberFormat="1" applyFont="1" applyFill="1" applyBorder="1" applyAlignment="1">
      <alignment horizontal="center" vertical="top"/>
    </xf>
    <xf numFmtId="0" fontId="89" fillId="0" borderId="23" xfId="2" applyFont="1" applyBorder="1" applyAlignment="1">
      <alignment horizontal="center" vertical="top" wrapText="1"/>
    </xf>
    <xf numFmtId="2" fontId="89" fillId="0" borderId="57" xfId="2" applyNumberFormat="1" applyFont="1" applyFill="1" applyBorder="1" applyAlignment="1">
      <alignment horizontal="center" vertical="top" wrapText="1"/>
    </xf>
    <xf numFmtId="0" fontId="91" fillId="0" borderId="6" xfId="2" applyFont="1" applyBorder="1" applyAlignment="1">
      <alignment horizontal="center" vertical="top" wrapText="1"/>
    </xf>
    <xf numFmtId="2" fontId="91" fillId="0" borderId="4" xfId="2" applyNumberFormat="1" applyFont="1" applyFill="1" applyBorder="1" applyAlignment="1">
      <alignment horizontal="center" vertical="top" wrapText="1"/>
    </xf>
    <xf numFmtId="0" fontId="92" fillId="0" borderId="6" xfId="2" applyFont="1" applyBorder="1" applyAlignment="1">
      <alignment horizontal="center" vertical="top" wrapText="1"/>
    </xf>
    <xf numFmtId="2" fontId="92" fillId="0" borderId="4" xfId="2" applyNumberFormat="1" applyFont="1" applyFill="1" applyBorder="1" applyAlignment="1">
      <alignment horizontal="center" vertical="top" wrapText="1"/>
    </xf>
    <xf numFmtId="0" fontId="90" fillId="0" borderId="6" xfId="2" applyFont="1" applyBorder="1" applyAlignment="1">
      <alignment horizontal="center" vertical="top" wrapText="1"/>
    </xf>
    <xf numFmtId="2" fontId="90" fillId="0" borderId="4" xfId="2" applyNumberFormat="1" applyFont="1" applyFill="1" applyBorder="1" applyAlignment="1">
      <alignment horizontal="center" vertical="top" wrapText="1"/>
    </xf>
    <xf numFmtId="0" fontId="90" fillId="0" borderId="6" xfId="2" applyFont="1" applyFill="1" applyBorder="1" applyAlignment="1">
      <alignment horizontal="center" vertical="top" wrapText="1"/>
    </xf>
    <xf numFmtId="2" fontId="90" fillId="2" borderId="4" xfId="2" applyNumberFormat="1" applyFont="1" applyFill="1" applyBorder="1" applyAlignment="1">
      <alignment horizontal="center" vertical="top" wrapText="1"/>
    </xf>
    <xf numFmtId="0" fontId="92" fillId="0" borderId="6" xfId="2" applyFont="1" applyFill="1" applyBorder="1" applyAlignment="1">
      <alignment horizontal="center" vertical="top" wrapText="1"/>
    </xf>
    <xf numFmtId="0" fontId="92" fillId="0" borderId="25" xfId="2" applyFont="1" applyFill="1" applyBorder="1" applyAlignment="1">
      <alignment horizontal="center" vertical="top" wrapText="1"/>
    </xf>
    <xf numFmtId="2" fontId="92" fillId="0" borderId="58" xfId="2" applyNumberFormat="1" applyFont="1" applyFill="1" applyBorder="1" applyAlignment="1">
      <alignment horizontal="center" vertical="top" wrapText="1"/>
    </xf>
    <xf numFmtId="0" fontId="89" fillId="0" borderId="6" xfId="2" applyFont="1" applyBorder="1" applyAlignment="1">
      <alignment horizontal="center" vertical="top" wrapText="1"/>
    </xf>
    <xf numFmtId="2" fontId="89" fillId="0" borderId="4" xfId="2" applyNumberFormat="1" applyFont="1" applyFill="1" applyBorder="1" applyAlignment="1">
      <alignment horizontal="center" vertical="top" wrapText="1"/>
    </xf>
    <xf numFmtId="49" fontId="91" fillId="0" borderId="6" xfId="2" applyNumberFormat="1" applyFont="1" applyBorder="1" applyAlignment="1">
      <alignment horizontal="center" vertical="top"/>
    </xf>
    <xf numFmtId="2" fontId="91" fillId="0" borderId="4" xfId="2" applyNumberFormat="1" applyFont="1" applyFill="1" applyBorder="1" applyAlignment="1">
      <alignment horizontal="center" vertical="top"/>
    </xf>
    <xf numFmtId="49" fontId="92" fillId="0" borderId="6" xfId="2" applyNumberFormat="1" applyFont="1" applyBorder="1" applyAlignment="1">
      <alignment horizontal="center" vertical="top"/>
    </xf>
    <xf numFmtId="2" fontId="92" fillId="0" borderId="4" xfId="2" applyNumberFormat="1" applyFont="1" applyFill="1" applyBorder="1" applyAlignment="1">
      <alignment horizontal="center" vertical="top"/>
    </xf>
    <xf numFmtId="49" fontId="90" fillId="0" borderId="6" xfId="2" applyNumberFormat="1" applyFont="1" applyBorder="1" applyAlignment="1">
      <alignment horizontal="center" vertical="top"/>
    </xf>
    <xf numFmtId="2" fontId="90" fillId="0" borderId="4" xfId="2" applyNumberFormat="1" applyFont="1" applyFill="1" applyBorder="1" applyAlignment="1">
      <alignment horizontal="center" vertical="top"/>
    </xf>
    <xf numFmtId="2" fontId="90" fillId="2" borderId="4" xfId="2" applyNumberFormat="1" applyFont="1" applyFill="1" applyBorder="1" applyAlignment="1">
      <alignment horizontal="center" vertical="top"/>
    </xf>
    <xf numFmtId="2" fontId="92" fillId="0" borderId="58" xfId="2" applyNumberFormat="1" applyFont="1" applyFill="1" applyBorder="1" applyAlignment="1">
      <alignment horizontal="center" vertical="top"/>
    </xf>
    <xf numFmtId="0" fontId="34" fillId="3" borderId="22" xfId="73" applyFont="1" applyFill="1" applyBorder="1" applyAlignment="1">
      <alignment horizontal="left" vertical="center" wrapText="1"/>
    </xf>
    <xf numFmtId="2" fontId="30" fillId="3" borderId="5" xfId="49" applyNumberFormat="1" applyFont="1" applyFill="1" applyBorder="1" applyAlignment="1">
      <alignment vertical="center"/>
    </xf>
    <xf numFmtId="2" fontId="34" fillId="2" borderId="5" xfId="49" applyNumberFormat="1" applyFont="1" applyFill="1" applyBorder="1" applyAlignment="1">
      <alignment vertical="center"/>
    </xf>
    <xf numFmtId="2" fontId="42" fillId="2" borderId="5" xfId="49" applyNumberFormat="1" applyFont="1" applyFill="1" applyBorder="1" applyAlignment="1">
      <alignment vertical="center"/>
    </xf>
    <xf numFmtId="1" fontId="39" fillId="0" borderId="0" xfId="58" applyNumberFormat="1" applyFont="1" applyAlignment="1">
      <alignment horizontal="right"/>
    </xf>
    <xf numFmtId="0" fontId="42" fillId="3" borderId="5" xfId="2" applyFont="1" applyFill="1" applyBorder="1" applyAlignment="1">
      <alignment horizontal="center" vertical="center" wrapText="1"/>
    </xf>
    <xf numFmtId="0" fontId="6" fillId="0" borderId="0" xfId="80" applyFont="1" applyAlignment="1">
      <alignment horizontal="center"/>
    </xf>
    <xf numFmtId="0" fontId="6" fillId="0" borderId="0" xfId="80" applyFont="1" applyAlignment="1">
      <alignment wrapText="1"/>
    </xf>
    <xf numFmtId="4" fontId="6" fillId="0" borderId="0" xfId="80" applyNumberFormat="1" applyFont="1"/>
    <xf numFmtId="0" fontId="39" fillId="0" borderId="0" xfId="58" applyFont="1" applyAlignment="1"/>
    <xf numFmtId="0" fontId="1" fillId="0" borderId="0" xfId="80"/>
    <xf numFmtId="0" fontId="8" fillId="0" borderId="0" xfId="80" applyFont="1" applyAlignment="1">
      <alignment horizontal="center"/>
    </xf>
    <xf numFmtId="0" fontId="8" fillId="0" borderId="0" xfId="80" applyFont="1" applyAlignment="1">
      <alignment horizontal="center" wrapText="1"/>
    </xf>
    <xf numFmtId="4" fontId="8" fillId="0" borderId="0" xfId="80" applyNumberFormat="1" applyFont="1" applyAlignment="1">
      <alignment horizontal="center"/>
    </xf>
    <xf numFmtId="0" fontId="10" fillId="2" borderId="0" xfId="58" applyFont="1" applyFill="1" applyAlignment="1"/>
    <xf numFmtId="0" fontId="39" fillId="0" borderId="0" xfId="58" applyFont="1" applyAlignment="1">
      <alignment horizontal="left"/>
    </xf>
    <xf numFmtId="0" fontId="97" fillId="0" borderId="0" xfId="58" applyFont="1" applyFill="1" applyBorder="1" applyAlignment="1">
      <alignment horizontal="left" vertical="center" wrapText="1"/>
    </xf>
    <xf numFmtId="0" fontId="98" fillId="0" borderId="0" xfId="58" applyFont="1" applyFill="1" applyBorder="1" applyAlignment="1">
      <alignment horizontal="left" vertical="center" wrapText="1"/>
    </xf>
    <xf numFmtId="4" fontId="8" fillId="0" borderId="0" xfId="80" applyNumberFormat="1" applyFont="1"/>
    <xf numFmtId="4" fontId="6" fillId="0" borderId="0" xfId="80" applyNumberFormat="1" applyFont="1" applyAlignment="1">
      <alignment horizontal="right"/>
    </xf>
    <xf numFmtId="0" fontId="8" fillId="0" borderId="17" xfId="80" applyFont="1" applyBorder="1" applyAlignment="1">
      <alignment horizontal="center" vertical="center"/>
    </xf>
    <xf numFmtId="0" fontId="8" fillId="0" borderId="18" xfId="80" applyFont="1" applyBorder="1" applyAlignment="1">
      <alignment horizontal="center" vertical="center" wrapText="1"/>
    </xf>
    <xf numFmtId="4" fontId="8" fillId="0" borderId="18" xfId="80" applyNumberFormat="1" applyFont="1" applyBorder="1" applyAlignment="1">
      <alignment horizontal="center" vertical="center" wrapText="1"/>
    </xf>
    <xf numFmtId="4" fontId="8" fillId="0" borderId="18" xfId="80" applyNumberFormat="1" applyFont="1" applyBorder="1" applyAlignment="1">
      <alignment horizontal="center" vertical="center"/>
    </xf>
    <xf numFmtId="0" fontId="6" fillId="0" borderId="21" xfId="80" applyNumberFormat="1" applyFont="1" applyBorder="1" applyAlignment="1">
      <alignment horizontal="center"/>
    </xf>
    <xf numFmtId="0" fontId="6" fillId="0" borderId="22" xfId="80" applyNumberFormat="1" applyFont="1" applyBorder="1" applyAlignment="1">
      <alignment horizontal="center" wrapText="1"/>
    </xf>
    <xf numFmtId="0" fontId="6" fillId="0" borderId="22" xfId="80" applyNumberFormat="1" applyFont="1" applyBorder="1" applyAlignment="1">
      <alignment horizontal="center"/>
    </xf>
    <xf numFmtId="0" fontId="6" fillId="0" borderId="31" xfId="80" applyNumberFormat="1" applyFont="1" applyBorder="1" applyAlignment="1">
      <alignment horizontal="center"/>
    </xf>
    <xf numFmtId="0" fontId="6" fillId="0" borderId="0" xfId="80" applyFont="1" applyAlignment="1">
      <alignment horizontal="left"/>
    </xf>
    <xf numFmtId="0" fontId="1" fillId="0" borderId="0" xfId="80" applyAlignment="1">
      <alignment horizontal="center"/>
    </xf>
    <xf numFmtId="0" fontId="1" fillId="0" borderId="0" xfId="80" applyAlignment="1">
      <alignment wrapText="1"/>
    </xf>
    <xf numFmtId="4" fontId="1" fillId="0" borderId="0" xfId="80" applyNumberFormat="1"/>
    <xf numFmtId="4" fontId="30" fillId="2" borderId="56" xfId="2" applyNumberFormat="1" applyFont="1" applyFill="1" applyBorder="1" applyAlignment="1">
      <alignment horizontal="center" vertical="center" wrapText="1"/>
    </xf>
    <xf numFmtId="4" fontId="95" fillId="2" borderId="5" xfId="2" applyNumberFormat="1" applyFont="1" applyFill="1" applyBorder="1" applyAlignment="1">
      <alignment horizontal="center" vertical="center" wrapText="1"/>
    </xf>
    <xf numFmtId="4" fontId="7" fillId="2" borderId="5" xfId="2" applyNumberFormat="1" applyFont="1" applyFill="1" applyBorder="1" applyAlignment="1">
      <alignment horizontal="center" vertical="center" wrapText="1"/>
    </xf>
    <xf numFmtId="0" fontId="7" fillId="2" borderId="4" xfId="2" applyFont="1" applyFill="1" applyBorder="1" applyAlignment="1">
      <alignment vertical="center" wrapText="1"/>
    </xf>
    <xf numFmtId="4" fontId="81" fillId="0" borderId="0" xfId="2" applyNumberFormat="1" applyFont="1" applyBorder="1" applyAlignment="1">
      <alignment horizontal="center" vertical="center" wrapText="1"/>
    </xf>
    <xf numFmtId="2" fontId="10" fillId="0" borderId="5" xfId="49" applyNumberFormat="1" applyFont="1" applyFill="1" applyBorder="1" applyAlignment="1">
      <alignment horizontal="right" vertical="center"/>
    </xf>
    <xf numFmtId="0" fontId="99" fillId="0" borderId="18" xfId="74" applyFont="1" applyBorder="1" applyAlignment="1">
      <alignment horizontal="center" vertical="center" wrapText="1"/>
    </xf>
    <xf numFmtId="0" fontId="99" fillId="0" borderId="0" xfId="74" applyFont="1"/>
    <xf numFmtId="0" fontId="100" fillId="0" borderId="0" xfId="58" applyFont="1" applyFill="1" applyAlignment="1"/>
    <xf numFmtId="0" fontId="100" fillId="0" borderId="0" xfId="58" applyFont="1" applyAlignment="1"/>
    <xf numFmtId="0" fontId="102" fillId="0" borderId="0" xfId="74" quotePrefix="1" applyFont="1" applyAlignment="1">
      <alignment horizontal="center"/>
    </xf>
    <xf numFmtId="0" fontId="99" fillId="0" borderId="17" xfId="74" applyFont="1" applyBorder="1" applyAlignment="1">
      <alignment horizontal="center" vertical="center" wrapText="1"/>
    </xf>
    <xf numFmtId="0" fontId="99" fillId="0" borderId="50" xfId="74" applyFont="1" applyBorder="1" applyAlignment="1">
      <alignment horizontal="center" vertical="center" wrapText="1"/>
    </xf>
    <xf numFmtId="0" fontId="99" fillId="0" borderId="21" xfId="74" applyFont="1" applyBorder="1" applyAlignment="1">
      <alignment horizontal="center" vertical="center" wrapText="1"/>
    </xf>
    <xf numFmtId="0" fontId="99" fillId="0" borderId="22" xfId="74" applyFont="1" applyBorder="1" applyAlignment="1">
      <alignment horizontal="center" vertical="center" wrapText="1"/>
    </xf>
    <xf numFmtId="0" fontId="99" fillId="0" borderId="31" xfId="74" applyFont="1" applyBorder="1" applyAlignment="1">
      <alignment horizontal="center" vertical="center" wrapText="1"/>
    </xf>
    <xf numFmtId="0" fontId="101" fillId="0" borderId="19" xfId="74" applyFont="1" applyBorder="1" applyAlignment="1">
      <alignment horizontal="center" vertical="center" wrapText="1"/>
    </xf>
    <xf numFmtId="0" fontId="101" fillId="0" borderId="20" xfId="74" applyFont="1" applyBorder="1" applyAlignment="1">
      <alignment horizontal="center" vertical="center" wrapText="1"/>
    </xf>
    <xf numFmtId="0" fontId="101" fillId="0" borderId="54" xfId="74" applyFont="1" applyBorder="1" applyAlignment="1">
      <alignment horizontal="center" vertical="center" wrapText="1"/>
    </xf>
    <xf numFmtId="0" fontId="101" fillId="0" borderId="21" xfId="74" applyFont="1" applyBorder="1" applyAlignment="1">
      <alignment horizontal="center" vertical="center" wrapText="1"/>
    </xf>
    <xf numFmtId="0" fontId="101" fillId="0" borderId="22" xfId="74" applyFont="1" applyBorder="1" applyAlignment="1">
      <alignment horizontal="center" vertical="center" wrapText="1"/>
    </xf>
    <xf numFmtId="0" fontId="101" fillId="0" borderId="31" xfId="74" applyFont="1" applyBorder="1" applyAlignment="1">
      <alignment horizontal="center" vertical="center" wrapText="1"/>
    </xf>
    <xf numFmtId="0" fontId="99" fillId="0" borderId="24" xfId="79" applyFont="1" applyBorder="1" applyAlignment="1">
      <alignment horizontal="center" vertical="center" wrapText="1"/>
    </xf>
    <xf numFmtId="0" fontId="99" fillId="0" borderId="24" xfId="79" applyFont="1" applyBorder="1" applyAlignment="1">
      <alignment horizontal="left" vertical="center" wrapText="1"/>
    </xf>
    <xf numFmtId="0" fontId="101" fillId="0" borderId="24" xfId="79" applyFont="1" applyBorder="1" applyAlignment="1">
      <alignment horizontal="left" vertical="center" wrapText="1"/>
    </xf>
    <xf numFmtId="0" fontId="101" fillId="0" borderId="24" xfId="79" applyFont="1" applyBorder="1" applyAlignment="1">
      <alignment horizontal="center" vertical="center" wrapText="1"/>
    </xf>
    <xf numFmtId="170" fontId="101" fillId="0" borderId="57" xfId="79" applyNumberFormat="1" applyFont="1" applyBorder="1" applyAlignment="1">
      <alignment horizontal="right" vertical="center"/>
    </xf>
    <xf numFmtId="0" fontId="101" fillId="0" borderId="6" xfId="79" applyFont="1" applyBorder="1" applyAlignment="1">
      <alignment horizontal="center" vertical="center" wrapText="1"/>
    </xf>
    <xf numFmtId="0" fontId="101" fillId="0" borderId="5" xfId="79" applyFont="1" applyBorder="1" applyAlignment="1">
      <alignment horizontal="center" vertical="center" wrapText="1"/>
    </xf>
    <xf numFmtId="0" fontId="99" fillId="0" borderId="5" xfId="79" applyFont="1" applyBorder="1" applyAlignment="1">
      <alignment horizontal="left" vertical="center" wrapText="1"/>
    </xf>
    <xf numFmtId="0" fontId="103" fillId="0" borderId="5" xfId="79" applyFont="1" applyBorder="1" applyAlignment="1">
      <alignment horizontal="center" vertical="center" wrapText="1"/>
    </xf>
    <xf numFmtId="2" fontId="103" fillId="0" borderId="5" xfId="49" applyNumberFormat="1" applyFont="1" applyFill="1" applyBorder="1" applyAlignment="1">
      <alignment horizontal="center" vertical="center"/>
    </xf>
    <xf numFmtId="170" fontId="101" fillId="0" borderId="4" xfId="79" applyNumberFormat="1" applyFont="1" applyBorder="1" applyAlignment="1">
      <alignment horizontal="right" vertical="center"/>
    </xf>
    <xf numFmtId="0" fontId="99" fillId="0" borderId="25" xfId="74" applyFont="1" applyBorder="1" applyAlignment="1">
      <alignment horizontal="center" vertical="center" wrapText="1"/>
    </xf>
    <xf numFmtId="0" fontId="99" fillId="0" borderId="7" xfId="74" applyFont="1" applyBorder="1" applyAlignment="1">
      <alignment horizontal="center" vertical="center" wrapText="1"/>
    </xf>
    <xf numFmtId="0" fontId="99" fillId="0" borderId="58" xfId="74" applyFont="1" applyBorder="1" applyAlignment="1">
      <alignment horizontal="center" vertical="center" wrapText="1"/>
    </xf>
    <xf numFmtId="49" fontId="101" fillId="0" borderId="10" xfId="74" applyNumberFormat="1" applyFont="1" applyBorder="1" applyAlignment="1">
      <alignment horizontal="center" vertical="center" wrapText="1"/>
    </xf>
    <xf numFmtId="0" fontId="101" fillId="0" borderId="9" xfId="74" applyFont="1" applyBorder="1" applyAlignment="1">
      <alignment horizontal="center" vertical="center" wrapText="1"/>
    </xf>
    <xf numFmtId="0" fontId="101" fillId="0" borderId="9" xfId="74" applyFont="1" applyBorder="1" applyAlignment="1">
      <alignment horizontal="left" vertical="center" wrapText="1"/>
    </xf>
    <xf numFmtId="170" fontId="101" fillId="0" borderId="8" xfId="74" applyNumberFormat="1" applyFont="1" applyBorder="1" applyAlignment="1">
      <alignment horizontal="right" vertical="center"/>
    </xf>
    <xf numFmtId="49" fontId="101" fillId="0" borderId="3" xfId="74" applyNumberFormat="1" applyFont="1" applyBorder="1" applyAlignment="1">
      <alignment horizontal="center" vertical="center" wrapText="1"/>
    </xf>
    <xf numFmtId="0" fontId="101" fillId="0" borderId="2" xfId="74" applyFont="1" applyBorder="1" applyAlignment="1">
      <alignment horizontal="center" vertical="center" wrapText="1"/>
    </xf>
    <xf numFmtId="0" fontId="101" fillId="0" borderId="2" xfId="74" applyFont="1" applyBorder="1" applyAlignment="1">
      <alignment horizontal="left" vertical="center" wrapText="1"/>
    </xf>
    <xf numFmtId="170" fontId="101" fillId="0" borderId="1" xfId="74" applyNumberFormat="1" applyFont="1" applyBorder="1" applyAlignment="1">
      <alignment horizontal="right" vertical="center"/>
    </xf>
    <xf numFmtId="49" fontId="103" fillId="0" borderId="23" xfId="2" applyNumberFormat="1" applyFont="1" applyFill="1" applyBorder="1" applyAlignment="1">
      <alignment horizontal="center" vertical="center" wrapText="1"/>
    </xf>
    <xf numFmtId="0" fontId="103" fillId="0" borderId="24" xfId="74" applyFont="1" applyBorder="1" applyAlignment="1">
      <alignment horizontal="center" vertical="center" wrapText="1"/>
    </xf>
    <xf numFmtId="0" fontId="103" fillId="0" borderId="24" xfId="74" applyFont="1" applyBorder="1" applyAlignment="1">
      <alignment horizontal="left" vertical="center" wrapText="1"/>
    </xf>
    <xf numFmtId="170" fontId="101" fillId="0" borderId="57" xfId="74" applyNumberFormat="1" applyFont="1" applyBorder="1" applyAlignment="1">
      <alignment horizontal="right" vertical="center"/>
    </xf>
    <xf numFmtId="0" fontId="103" fillId="0" borderId="7" xfId="74" applyFont="1" applyBorder="1" applyAlignment="1">
      <alignment horizontal="center" vertical="center" wrapText="1"/>
    </xf>
    <xf numFmtId="0" fontId="103" fillId="0" borderId="7" xfId="74" applyFont="1" applyBorder="1" applyAlignment="1">
      <alignment horizontal="left" vertical="center" wrapText="1"/>
    </xf>
    <xf numFmtId="170" fontId="103" fillId="0" borderId="58" xfId="74" applyNumberFormat="1" applyFont="1" applyBorder="1" applyAlignment="1">
      <alignment horizontal="right" vertical="center"/>
    </xf>
    <xf numFmtId="49" fontId="101" fillId="0" borderId="10" xfId="79" applyNumberFormat="1" applyFont="1" applyBorder="1" applyAlignment="1">
      <alignment horizontal="center" vertical="center" wrapText="1"/>
    </xf>
    <xf numFmtId="49" fontId="101" fillId="0" borderId="9" xfId="79" applyNumberFormat="1" applyFont="1" applyBorder="1" applyAlignment="1">
      <alignment horizontal="center" vertical="center" wrapText="1"/>
    </xf>
    <xf numFmtId="0" fontId="101" fillId="0" borderId="9" xfId="79" applyFont="1" applyBorder="1" applyAlignment="1">
      <alignment horizontal="left" vertical="center" wrapText="1"/>
    </xf>
    <xf numFmtId="0" fontId="99" fillId="0" borderId="9" xfId="79" applyFont="1" applyBorder="1" applyAlignment="1">
      <alignment horizontal="left" vertical="center" wrapText="1"/>
    </xf>
    <xf numFmtId="0" fontId="99" fillId="0" borderId="9" xfId="79" applyFont="1" applyBorder="1" applyAlignment="1">
      <alignment horizontal="center" vertical="center" wrapText="1"/>
    </xf>
    <xf numFmtId="170" fontId="99" fillId="0" borderId="8" xfId="79" applyNumberFormat="1" applyFont="1" applyBorder="1" applyAlignment="1">
      <alignment horizontal="right" vertical="center"/>
    </xf>
    <xf numFmtId="49" fontId="101" fillId="0" borderId="3" xfId="79" applyNumberFormat="1" applyFont="1" applyBorder="1" applyAlignment="1">
      <alignment horizontal="center" vertical="center" wrapText="1"/>
    </xf>
    <xf numFmtId="49" fontId="101" fillId="0" borderId="2" xfId="79" applyNumberFormat="1" applyFont="1" applyBorder="1" applyAlignment="1">
      <alignment horizontal="center" vertical="center" wrapText="1"/>
    </xf>
    <xf numFmtId="0" fontId="101" fillId="0" borderId="2" xfId="79" applyFont="1" applyBorder="1" applyAlignment="1">
      <alignment horizontal="left" vertical="center" wrapText="1"/>
    </xf>
    <xf numFmtId="0" fontId="99" fillId="0" borderId="2" xfId="79" applyFont="1" applyBorder="1" applyAlignment="1">
      <alignment horizontal="left" vertical="center" wrapText="1"/>
    </xf>
    <xf numFmtId="0" fontId="99" fillId="0" borderId="2" xfId="79" applyFont="1" applyBorder="1" applyAlignment="1">
      <alignment horizontal="center" vertical="center" wrapText="1"/>
    </xf>
    <xf numFmtId="170" fontId="99" fillId="0" borderId="1" xfId="79" applyNumberFormat="1" applyFont="1" applyBorder="1" applyAlignment="1">
      <alignment horizontal="right" vertical="center"/>
    </xf>
    <xf numFmtId="49" fontId="104" fillId="0" borderId="21" xfId="73" applyNumberFormat="1" applyFont="1" applyFill="1" applyBorder="1" applyAlignment="1">
      <alignment horizontal="center" vertical="center" wrapText="1"/>
    </xf>
    <xf numFmtId="49" fontId="104" fillId="0" borderId="22" xfId="73" applyNumberFormat="1" applyFont="1" applyFill="1" applyBorder="1" applyAlignment="1">
      <alignment horizontal="center" vertical="center" wrapText="1"/>
    </xf>
    <xf numFmtId="0" fontId="104" fillId="0" borderId="22" xfId="73" applyFont="1" applyFill="1" applyBorder="1" applyAlignment="1">
      <alignment horizontal="left" vertical="center" wrapText="1"/>
    </xf>
    <xf numFmtId="0" fontId="99" fillId="0" borderId="22" xfId="79" applyFont="1" applyBorder="1" applyAlignment="1">
      <alignment horizontal="left" vertical="center" wrapText="1"/>
    </xf>
    <xf numFmtId="0" fontId="99" fillId="0" borderId="22" xfId="79" applyFont="1" applyBorder="1" applyAlignment="1">
      <alignment horizontal="center" vertical="center" wrapText="1"/>
    </xf>
    <xf numFmtId="2" fontId="103" fillId="0" borderId="22" xfId="76" applyNumberFormat="1" applyFont="1" applyFill="1" applyBorder="1" applyAlignment="1">
      <alignment horizontal="right" vertical="center"/>
    </xf>
    <xf numFmtId="2" fontId="104" fillId="0" borderId="22" xfId="76" applyNumberFormat="1" applyFont="1" applyFill="1" applyBorder="1" applyAlignment="1">
      <alignment horizontal="right" vertical="center"/>
    </xf>
    <xf numFmtId="170" fontId="99" fillId="0" borderId="31" xfId="79" applyNumberFormat="1" applyFont="1" applyBorder="1" applyAlignment="1">
      <alignment horizontal="right" vertical="center"/>
    </xf>
    <xf numFmtId="0" fontId="99" fillId="0" borderId="19" xfId="79" applyFont="1" applyBorder="1" applyAlignment="1">
      <alignment horizontal="center" vertical="center" wrapText="1"/>
    </xf>
    <xf numFmtId="0" fontId="99" fillId="0" borderId="20" xfId="79" applyFont="1" applyBorder="1" applyAlignment="1">
      <alignment horizontal="center" vertical="center" wrapText="1"/>
    </xf>
    <xf numFmtId="0" fontId="99" fillId="0" borderId="20" xfId="79" applyFont="1" applyBorder="1" applyAlignment="1">
      <alignment horizontal="left" vertical="center" wrapText="1"/>
    </xf>
    <xf numFmtId="2" fontId="103" fillId="0" borderId="20" xfId="76" applyNumberFormat="1" applyFont="1" applyFill="1" applyBorder="1" applyAlignment="1">
      <alignment horizontal="right" vertical="center"/>
    </xf>
    <xf numFmtId="170" fontId="99" fillId="0" borderId="54" xfId="79" applyNumberFormat="1" applyFont="1" applyBorder="1" applyAlignment="1">
      <alignment horizontal="right" vertical="center"/>
    </xf>
    <xf numFmtId="0" fontId="101" fillId="2" borderId="22" xfId="81" quotePrefix="1" applyFont="1" applyFill="1" applyBorder="1" applyAlignment="1">
      <alignment horizontal="left" vertical="center" wrapText="1"/>
    </xf>
    <xf numFmtId="0" fontId="99" fillId="0" borderId="23" xfId="79" applyFont="1" applyBorder="1" applyAlignment="1">
      <alignment horizontal="center" vertical="center" wrapText="1"/>
    </xf>
    <xf numFmtId="2" fontId="103" fillId="0" borderId="24" xfId="49" applyNumberFormat="1" applyFont="1" applyFill="1" applyBorder="1" applyAlignment="1">
      <alignment horizontal="right" vertical="center"/>
    </xf>
    <xf numFmtId="172" fontId="99" fillId="0" borderId="57" xfId="79" applyNumberFormat="1" applyFont="1" applyBorder="1" applyAlignment="1">
      <alignment horizontal="right" vertical="center"/>
    </xf>
    <xf numFmtId="0" fontId="99" fillId="0" borderId="6" xfId="79" applyFont="1" applyBorder="1" applyAlignment="1">
      <alignment horizontal="center" vertical="center" wrapText="1"/>
    </xf>
    <xf numFmtId="0" fontId="99" fillId="0" borderId="5" xfId="79" applyFont="1" applyBorder="1" applyAlignment="1">
      <alignment horizontal="center" vertical="center" wrapText="1"/>
    </xf>
    <xf numFmtId="2" fontId="103" fillId="0" borderId="5" xfId="76" applyNumberFormat="1" applyFont="1" applyFill="1" applyBorder="1" applyAlignment="1">
      <alignment horizontal="right" vertical="center"/>
    </xf>
    <xf numFmtId="170" fontId="99" fillId="0" borderId="4" xfId="79" applyNumberFormat="1" applyFont="1" applyBorder="1" applyAlignment="1">
      <alignment horizontal="right" vertical="center"/>
    </xf>
    <xf numFmtId="49" fontId="104" fillId="0" borderId="6" xfId="73" applyNumberFormat="1" applyFont="1" applyFill="1" applyBorder="1" applyAlignment="1">
      <alignment horizontal="center" vertical="center" wrapText="1"/>
    </xf>
    <xf numFmtId="49" fontId="104" fillId="0" borderId="5" xfId="73" applyNumberFormat="1" applyFont="1" applyFill="1" applyBorder="1" applyAlignment="1">
      <alignment horizontal="center" vertical="center" wrapText="1"/>
    </xf>
    <xf numFmtId="0" fontId="104" fillId="0" borderId="5" xfId="73" applyFont="1" applyFill="1" applyBorder="1" applyAlignment="1">
      <alignment horizontal="left" vertical="center" wrapText="1"/>
    </xf>
    <xf numFmtId="49" fontId="103" fillId="0" borderId="19" xfId="2" applyNumberFormat="1" applyFont="1" applyFill="1" applyBorder="1" applyAlignment="1">
      <alignment horizontal="center" vertical="center" wrapText="1"/>
    </xf>
    <xf numFmtId="0" fontId="103" fillId="0" borderId="20" xfId="74" applyFont="1" applyBorder="1" applyAlignment="1">
      <alignment horizontal="center" vertical="center" wrapText="1"/>
    </xf>
    <xf numFmtId="0" fontId="103" fillId="0" borderId="20" xfId="74" applyFont="1" applyBorder="1" applyAlignment="1">
      <alignment horizontal="left" vertical="center" wrapText="1"/>
    </xf>
    <xf numFmtId="170" fontId="103" fillId="0" borderId="54" xfId="74" applyNumberFormat="1" applyFont="1" applyBorder="1" applyAlignment="1">
      <alignment horizontal="right" vertical="center"/>
    </xf>
    <xf numFmtId="0" fontId="101" fillId="2" borderId="21" xfId="74" applyFont="1" applyFill="1" applyBorder="1" applyAlignment="1">
      <alignment horizontal="center" vertical="center" wrapText="1"/>
    </xf>
    <xf numFmtId="0" fontId="101" fillId="2" borderId="22" xfId="74" applyFont="1" applyFill="1" applyBorder="1" applyAlignment="1">
      <alignment horizontal="center" vertical="center" wrapText="1"/>
    </xf>
    <xf numFmtId="170" fontId="101" fillId="2" borderId="31" xfId="74" applyNumberFormat="1" applyFont="1" applyFill="1" applyBorder="1" applyAlignment="1">
      <alignment horizontal="right" vertical="center"/>
    </xf>
    <xf numFmtId="0" fontId="99" fillId="0" borderId="0" xfId="1" applyFont="1" applyAlignment="1">
      <alignment horizontal="left"/>
    </xf>
    <xf numFmtId="0" fontId="106" fillId="0" borderId="0" xfId="74" applyFont="1"/>
    <xf numFmtId="0" fontId="99" fillId="0" borderId="0" xfId="1" applyFont="1" applyAlignment="1">
      <alignment horizontal="right"/>
    </xf>
    <xf numFmtId="0" fontId="35" fillId="2" borderId="4" xfId="2" applyFont="1" applyFill="1" applyBorder="1" applyAlignment="1">
      <alignment vertical="center" wrapText="1"/>
    </xf>
    <xf numFmtId="4" fontId="95" fillId="2" borderId="56" xfId="2" applyNumberFormat="1" applyFont="1" applyFill="1" applyBorder="1" applyAlignment="1">
      <alignment horizontal="center" vertical="center" wrapText="1"/>
    </xf>
    <xf numFmtId="4" fontId="7" fillId="0" borderId="5" xfId="2" applyNumberFormat="1" applyFont="1" applyFill="1" applyBorder="1" applyAlignment="1">
      <alignment horizontal="center" vertical="center" wrapText="1"/>
    </xf>
    <xf numFmtId="0" fontId="45" fillId="0" borderId="0" xfId="2" applyFont="1" applyFill="1" applyBorder="1" applyAlignment="1">
      <alignment horizontal="left" vertical="center"/>
    </xf>
    <xf numFmtId="1" fontId="36" fillId="0" borderId="0" xfId="58" applyNumberFormat="1" applyFont="1" applyFill="1" applyBorder="1" applyAlignment="1">
      <alignment horizontal="center" vertical="center"/>
    </xf>
    <xf numFmtId="165" fontId="0" fillId="2" borderId="0" xfId="0" applyNumberFormat="1" applyFill="1"/>
    <xf numFmtId="165" fontId="0" fillId="0" borderId="0" xfId="0" applyNumberFormat="1" applyFill="1"/>
    <xf numFmtId="165" fontId="0" fillId="0" borderId="0" xfId="0" applyNumberFormat="1"/>
    <xf numFmtId="49" fontId="104" fillId="0" borderId="23" xfId="79" applyNumberFormat="1" applyFont="1" applyBorder="1" applyAlignment="1">
      <alignment horizontal="center" vertical="center" wrapText="1"/>
    </xf>
    <xf numFmtId="14" fontId="34" fillId="0" borderId="5" xfId="2" applyNumberFormat="1" applyFont="1" applyFill="1" applyBorder="1" applyAlignment="1">
      <alignment horizontal="center" vertical="center" wrapText="1"/>
    </xf>
    <xf numFmtId="4" fontId="108" fillId="2" borderId="5" xfId="2" applyNumberFormat="1" applyFont="1" applyFill="1" applyBorder="1" applyAlignment="1">
      <alignment horizontal="center" vertical="center" wrapText="1"/>
    </xf>
    <xf numFmtId="2" fontId="36" fillId="2" borderId="5" xfId="2" applyNumberFormat="1" applyFont="1" applyFill="1" applyBorder="1" applyAlignment="1">
      <alignment horizontal="center" vertical="center"/>
    </xf>
    <xf numFmtId="2" fontId="36" fillId="0" borderId="22" xfId="58" applyNumberFormat="1" applyFont="1" applyFill="1" applyBorder="1" applyAlignment="1">
      <alignment horizontal="center" vertical="center"/>
    </xf>
    <xf numFmtId="2" fontId="36" fillId="0" borderId="31" xfId="58" applyNumberFormat="1" applyFont="1" applyFill="1" applyBorder="1" applyAlignment="1">
      <alignment horizontal="center" vertical="center"/>
    </xf>
    <xf numFmtId="2" fontId="36" fillId="0" borderId="22" xfId="2" applyNumberFormat="1" applyFont="1" applyFill="1" applyBorder="1" applyAlignment="1">
      <alignment horizontal="center" vertical="center"/>
    </xf>
    <xf numFmtId="2" fontId="36" fillId="0" borderId="31" xfId="2" applyNumberFormat="1" applyFont="1" applyFill="1" applyBorder="1" applyAlignment="1">
      <alignment horizontal="center" vertical="center"/>
    </xf>
    <xf numFmtId="2" fontId="36" fillId="0" borderId="24" xfId="2" applyNumberFormat="1" applyFont="1" applyFill="1" applyBorder="1" applyAlignment="1">
      <alignment horizontal="center" vertical="center"/>
    </xf>
    <xf numFmtId="2" fontId="36" fillId="0" borderId="57" xfId="2" applyNumberFormat="1" applyFont="1" applyFill="1" applyBorder="1" applyAlignment="1">
      <alignment horizontal="center" vertical="center"/>
    </xf>
    <xf numFmtId="2" fontId="36" fillId="2" borderId="4" xfId="2" applyNumberFormat="1" applyFont="1" applyFill="1" applyBorder="1" applyAlignment="1">
      <alignment horizontal="center" vertical="center"/>
    </xf>
    <xf numFmtId="0" fontId="34" fillId="2" borderId="4" xfId="2" applyFont="1" applyFill="1" applyBorder="1" applyAlignment="1">
      <alignment horizontal="left" vertical="center" wrapText="1"/>
    </xf>
    <xf numFmtId="2" fontId="30" fillId="0" borderId="5" xfId="58" applyNumberFormat="1" applyFont="1" applyFill="1" applyBorder="1" applyAlignment="1">
      <alignment horizontal="center" vertical="center"/>
    </xf>
    <xf numFmtId="2" fontId="30" fillId="0" borderId="5" xfId="2" applyNumberFormat="1" applyFont="1" applyFill="1" applyBorder="1" applyAlignment="1">
      <alignment horizontal="center" vertical="center"/>
    </xf>
    <xf numFmtId="2" fontId="30" fillId="0" borderId="5" xfId="58" applyNumberFormat="1" applyFont="1" applyFill="1" applyBorder="1" applyAlignment="1">
      <alignment horizontal="right" vertical="center"/>
    </xf>
    <xf numFmtId="14" fontId="34" fillId="2" borderId="7" xfId="2" applyNumberFormat="1" applyFont="1" applyFill="1" applyBorder="1" applyAlignment="1">
      <alignment horizontal="center" vertical="center" wrapText="1"/>
    </xf>
    <xf numFmtId="4" fontId="109" fillId="2" borderId="5" xfId="2" applyNumberFormat="1" applyFont="1" applyFill="1" applyBorder="1" applyAlignment="1">
      <alignment horizontal="center" vertical="center" wrapText="1"/>
    </xf>
    <xf numFmtId="49" fontId="10" fillId="3" borderId="6" xfId="73" applyNumberFormat="1" applyFont="1" applyFill="1" applyBorder="1" applyAlignment="1">
      <alignment horizontal="center" vertical="center" wrapText="1"/>
    </xf>
    <xf numFmtId="49" fontId="10" fillId="3" borderId="5" xfId="73" applyNumberFormat="1" applyFont="1" applyFill="1" applyBorder="1" applyAlignment="1">
      <alignment horizontal="center" vertical="center" wrapText="1"/>
    </xf>
    <xf numFmtId="0" fontId="10" fillId="3" borderId="5" xfId="73" applyFont="1" applyFill="1" applyBorder="1" applyAlignment="1">
      <alignment horizontal="left" vertical="center" wrapText="1"/>
    </xf>
    <xf numFmtId="0" fontId="42" fillId="3" borderId="24" xfId="73" applyFont="1" applyFill="1" applyBorder="1" applyAlignment="1">
      <alignment horizontal="center" vertical="center" wrapText="1"/>
    </xf>
    <xf numFmtId="0" fontId="10" fillId="3" borderId="5" xfId="2" applyFont="1" applyFill="1" applyBorder="1" applyAlignment="1">
      <alignment horizontal="left" vertical="center" wrapText="1"/>
    </xf>
    <xf numFmtId="4" fontId="7" fillId="2" borderId="7" xfId="2" applyNumberFormat="1" applyFont="1" applyFill="1" applyBorder="1" applyAlignment="1">
      <alignment horizontal="center" vertical="center" wrapText="1"/>
    </xf>
    <xf numFmtId="2" fontId="30" fillId="2" borderId="5" xfId="2" applyNumberFormat="1" applyFont="1" applyFill="1" applyBorder="1" applyAlignment="1">
      <alignment horizontal="center" vertical="center"/>
    </xf>
    <xf numFmtId="2" fontId="72" fillId="2" borderId="5" xfId="58" applyNumberFormat="1" applyFont="1" applyFill="1" applyBorder="1" applyAlignment="1">
      <alignment horizontal="right" vertical="center"/>
    </xf>
    <xf numFmtId="2" fontId="72" fillId="2" borderId="5" xfId="58" applyNumberFormat="1" applyFont="1" applyFill="1" applyBorder="1" applyAlignment="1">
      <alignment vertical="center"/>
    </xf>
    <xf numFmtId="2" fontId="72" fillId="0" borderId="5" xfId="58" applyNumberFormat="1" applyFont="1" applyFill="1" applyBorder="1" applyAlignment="1">
      <alignment horizontal="right" vertical="center"/>
    </xf>
    <xf numFmtId="2" fontId="42" fillId="3" borderId="9" xfId="49" applyNumberFormat="1" applyFont="1" applyFill="1" applyBorder="1" applyAlignment="1">
      <alignment horizontal="right" vertical="center"/>
    </xf>
    <xf numFmtId="2" fontId="42" fillId="3" borderId="22" xfId="73" applyNumberFormat="1" applyFont="1" applyFill="1" applyBorder="1" applyAlignment="1">
      <alignment horizontal="right" vertical="center"/>
    </xf>
    <xf numFmtId="2" fontId="42" fillId="0" borderId="22" xfId="73" applyNumberFormat="1" applyFont="1" applyFill="1" applyBorder="1" applyAlignment="1">
      <alignment horizontal="right" vertical="center"/>
    </xf>
    <xf numFmtId="2" fontId="34" fillId="2" borderId="5" xfId="73" applyNumberFormat="1" applyFont="1" applyFill="1" applyBorder="1" applyAlignment="1">
      <alignment horizontal="right" vertical="center" wrapText="1"/>
    </xf>
    <xf numFmtId="0" fontId="7" fillId="0" borderId="4" xfId="2" applyFont="1" applyFill="1" applyBorder="1" applyAlignment="1">
      <alignment vertical="center" wrapText="1"/>
    </xf>
    <xf numFmtId="0" fontId="18" fillId="0" borderId="0" xfId="58" applyAlignment="1">
      <alignment horizontal="right" wrapText="1"/>
    </xf>
    <xf numFmtId="1" fontId="34" fillId="2" borderId="5" xfId="2" applyNumberFormat="1" applyFont="1" applyFill="1" applyBorder="1" applyAlignment="1">
      <alignment horizontal="center" vertical="center"/>
    </xf>
    <xf numFmtId="0" fontId="110" fillId="21" borderId="63" xfId="0" applyFont="1" applyFill="1" applyBorder="1" applyAlignment="1">
      <alignment horizontal="center" vertical="center" wrapText="1"/>
    </xf>
    <xf numFmtId="0" fontId="110" fillId="21" borderId="63" xfId="0" applyFont="1" applyFill="1" applyBorder="1" applyAlignment="1">
      <alignment horizontal="left" vertical="center" wrapText="1"/>
    </xf>
    <xf numFmtId="4" fontId="34" fillId="2" borderId="7" xfId="2" applyNumberFormat="1" applyFont="1" applyFill="1" applyBorder="1" applyAlignment="1">
      <alignment horizontal="center" vertical="center" wrapText="1"/>
    </xf>
    <xf numFmtId="0" fontId="34" fillId="0" borderId="4" xfId="2" applyFont="1" applyFill="1" applyBorder="1" applyAlignment="1">
      <alignment horizontal="left" vertical="center" wrapText="1"/>
    </xf>
    <xf numFmtId="2" fontId="7" fillId="2" borderId="5" xfId="2" applyNumberFormat="1" applyFont="1" applyFill="1" applyBorder="1" applyAlignment="1">
      <alignment horizontal="center" vertical="center" wrapText="1"/>
    </xf>
    <xf numFmtId="49" fontId="34" fillId="0" borderId="5" xfId="73" applyNumberFormat="1" applyFont="1" applyFill="1" applyBorder="1" applyAlignment="1">
      <alignment horizontal="center" vertical="center" wrapText="1"/>
    </xf>
    <xf numFmtId="0" fontId="34" fillId="2" borderId="4" xfId="2" applyFont="1" applyFill="1" applyBorder="1" applyAlignment="1">
      <alignment vertical="center" wrapText="1"/>
    </xf>
    <xf numFmtId="1" fontId="36" fillId="3" borderId="0" xfId="73" applyNumberFormat="1" applyFont="1" applyFill="1" applyBorder="1" applyAlignment="1">
      <alignment horizontal="center" vertical="center"/>
    </xf>
    <xf numFmtId="2" fontId="42" fillId="0" borderId="5" xfId="58" applyNumberFormat="1" applyFont="1" applyFill="1" applyBorder="1" applyAlignment="1">
      <alignment horizontal="center" vertical="center"/>
    </xf>
    <xf numFmtId="49" fontId="7" fillId="0" borderId="5" xfId="2" applyNumberFormat="1" applyFont="1" applyFill="1" applyBorder="1" applyAlignment="1">
      <alignment horizontal="center" vertical="center" wrapText="1"/>
    </xf>
    <xf numFmtId="0" fontId="6" fillId="0" borderId="0" xfId="80" applyFont="1" applyBorder="1" applyAlignment="1">
      <alignment horizontal="center"/>
    </xf>
    <xf numFmtId="0" fontId="6" fillId="0" borderId="0" xfId="80" applyFont="1" applyBorder="1" applyAlignment="1">
      <alignment wrapText="1"/>
    </xf>
    <xf numFmtId="4" fontId="6" fillId="0" borderId="0" xfId="80" applyNumberFormat="1" applyFont="1" applyBorder="1" applyAlignment="1">
      <alignment vertical="center"/>
    </xf>
    <xf numFmtId="4" fontId="8" fillId="2" borderId="5" xfId="0" applyNumberFormat="1" applyFont="1" applyFill="1" applyBorder="1" applyAlignment="1">
      <alignment vertical="center"/>
    </xf>
    <xf numFmtId="0" fontId="6" fillId="0" borderId="5" xfId="0" applyFont="1" applyBorder="1" applyAlignment="1">
      <alignment vertical="center" wrapText="1"/>
    </xf>
    <xf numFmtId="4" fontId="6" fillId="0" borderId="5" xfId="0" applyNumberFormat="1" applyFont="1" applyBorder="1" applyAlignment="1">
      <alignment vertical="center"/>
    </xf>
    <xf numFmtId="4" fontId="8" fillId="0" borderId="50" xfId="80" applyNumberFormat="1" applyFont="1" applyBorder="1" applyAlignment="1">
      <alignment horizontal="center" vertical="center" wrapText="1"/>
    </xf>
    <xf numFmtId="0" fontId="101" fillId="0" borderId="23" xfId="79" applyFont="1" applyBorder="1" applyAlignment="1">
      <alignment horizontal="center" vertical="center" wrapText="1"/>
    </xf>
    <xf numFmtId="2" fontId="103" fillId="0" borderId="24" xfId="49" applyNumberFormat="1" applyFont="1" applyFill="1" applyBorder="1" applyAlignment="1">
      <alignment horizontal="center" vertical="center"/>
    </xf>
    <xf numFmtId="172" fontId="101" fillId="0" borderId="57" xfId="79" applyNumberFormat="1" applyFont="1" applyBorder="1" applyAlignment="1">
      <alignment horizontal="right" vertical="center"/>
    </xf>
    <xf numFmtId="49" fontId="111" fillId="0" borderId="5" xfId="2" applyNumberFormat="1" applyFont="1" applyFill="1" applyBorder="1" applyAlignment="1">
      <alignment horizontal="center" vertical="center"/>
    </xf>
    <xf numFmtId="2" fontId="111" fillId="0" borderId="5" xfId="2" applyNumberFormat="1" applyFont="1" applyFill="1" applyBorder="1" applyAlignment="1">
      <alignment horizontal="center" vertical="center" wrapText="1"/>
    </xf>
    <xf numFmtId="4" fontId="107" fillId="2" borderId="5" xfId="2" applyNumberFormat="1" applyFont="1" applyFill="1" applyBorder="1" applyAlignment="1">
      <alignment horizontal="center" vertical="center" wrapText="1"/>
    </xf>
    <xf numFmtId="2" fontId="36" fillId="0" borderId="5" xfId="58" applyNumberFormat="1" applyFont="1" applyFill="1" applyBorder="1" applyAlignment="1">
      <alignment horizontal="center" vertical="center"/>
    </xf>
    <xf numFmtId="2" fontId="36" fillId="0" borderId="57" xfId="58" applyNumberFormat="1" applyFont="1" applyFill="1" applyBorder="1" applyAlignment="1">
      <alignment horizontal="center" vertical="center"/>
    </xf>
    <xf numFmtId="2" fontId="36" fillId="0" borderId="5" xfId="2" applyNumberFormat="1" applyFont="1" applyFill="1" applyBorder="1" applyAlignment="1">
      <alignment horizontal="center" vertical="center"/>
    </xf>
    <xf numFmtId="49" fontId="30" fillId="0" borderId="6" xfId="2" applyNumberFormat="1" applyFont="1" applyFill="1" applyBorder="1" applyAlignment="1">
      <alignment horizontal="center" vertical="center" wrapText="1"/>
    </xf>
    <xf numFmtId="4" fontId="30" fillId="0" borderId="48" xfId="2" applyNumberFormat="1" applyFont="1" applyFill="1" applyBorder="1" applyAlignment="1">
      <alignment horizontal="center" vertical="center" wrapText="1"/>
    </xf>
    <xf numFmtId="2" fontId="36" fillId="0" borderId="24" xfId="58" applyNumberFormat="1" applyFont="1" applyFill="1" applyBorder="1" applyAlignment="1">
      <alignment horizontal="center" vertical="center"/>
    </xf>
    <xf numFmtId="2" fontId="30" fillId="3" borderId="5" xfId="58" applyNumberFormat="1" applyFont="1" applyFill="1" applyBorder="1" applyAlignment="1">
      <alignment horizontal="center" vertical="center"/>
    </xf>
    <xf numFmtId="2" fontId="30" fillId="0" borderId="7" xfId="58" applyNumberFormat="1" applyFont="1" applyFill="1" applyBorder="1" applyAlignment="1">
      <alignment horizontal="center" vertical="center"/>
    </xf>
    <xf numFmtId="2" fontId="36" fillId="0" borderId="7" xfId="58" applyNumberFormat="1" applyFont="1" applyFill="1" applyBorder="1" applyAlignment="1">
      <alignment horizontal="center" vertical="center"/>
    </xf>
    <xf numFmtId="2" fontId="30" fillId="0" borderId="6" xfId="2" applyNumberFormat="1" applyFont="1" applyFill="1" applyBorder="1" applyAlignment="1">
      <alignment horizontal="left" vertical="center"/>
    </xf>
    <xf numFmtId="2" fontId="30" fillId="0" borderId="5" xfId="2" applyNumberFormat="1" applyFont="1" applyFill="1" applyBorder="1" applyAlignment="1">
      <alignment horizontal="center" vertical="center" wrapText="1"/>
    </xf>
    <xf numFmtId="2" fontId="42" fillId="0" borderId="5" xfId="2" applyNumberFormat="1" applyFont="1" applyFill="1" applyBorder="1" applyAlignment="1">
      <alignment horizontal="center" vertical="center"/>
    </xf>
    <xf numFmtId="2" fontId="30" fillId="0" borderId="22" xfId="58" applyNumberFormat="1" applyFont="1" applyFill="1" applyBorder="1" applyAlignment="1">
      <alignment horizontal="center" vertical="center"/>
    </xf>
    <xf numFmtId="2" fontId="30" fillId="0" borderId="24" xfId="58" applyNumberFormat="1" applyFont="1" applyFill="1" applyBorder="1" applyAlignment="1">
      <alignment horizontal="center" vertical="center"/>
    </xf>
    <xf numFmtId="2" fontId="78" fillId="0" borderId="5" xfId="49" applyNumberFormat="1" applyFont="1" applyFill="1" applyBorder="1" applyAlignment="1">
      <alignment horizontal="right" vertical="center"/>
    </xf>
    <xf numFmtId="2" fontId="78" fillId="3" borderId="5" xfId="49" applyNumberFormat="1" applyFont="1" applyFill="1" applyBorder="1" applyAlignment="1">
      <alignment horizontal="right" vertical="center"/>
    </xf>
    <xf numFmtId="2" fontId="112" fillId="3" borderId="9" xfId="49" applyNumberFormat="1" applyFont="1" applyFill="1" applyBorder="1" applyAlignment="1">
      <alignment horizontal="right" vertical="center"/>
    </xf>
    <xf numFmtId="2" fontId="43" fillId="3" borderId="22" xfId="73" applyNumberFormat="1" applyFont="1" applyFill="1" applyBorder="1" applyAlignment="1">
      <alignment horizontal="right" vertical="center"/>
    </xf>
    <xf numFmtId="2" fontId="34" fillId="2" borderId="5" xfId="2" applyNumberFormat="1" applyFont="1" applyFill="1" applyBorder="1" applyAlignment="1">
      <alignment horizontal="center" vertical="center" wrapText="1"/>
    </xf>
    <xf numFmtId="2" fontId="34" fillId="2" borderId="5" xfId="81" applyNumberFormat="1" applyFont="1" applyFill="1" applyBorder="1" applyAlignment="1">
      <alignment vertical="center"/>
    </xf>
    <xf numFmtId="2" fontId="63" fillId="2" borderId="5" xfId="81" applyNumberFormat="1" applyFont="1" applyFill="1" applyBorder="1" applyAlignment="1">
      <alignment vertical="center"/>
    </xf>
    <xf numFmtId="2" fontId="10" fillId="3" borderId="5" xfId="73" applyNumberFormat="1" applyFont="1" applyFill="1" applyBorder="1"/>
    <xf numFmtId="2" fontId="10" fillId="2" borderId="5" xfId="73" applyNumberFormat="1" applyFont="1" applyFill="1" applyBorder="1"/>
    <xf numFmtId="2" fontId="34" fillId="2" borderId="7" xfId="81" applyNumberFormat="1" applyFont="1" applyFill="1" applyBorder="1" applyAlignment="1">
      <alignment vertical="center"/>
    </xf>
    <xf numFmtId="2" fontId="36" fillId="0" borderId="4" xfId="58" applyNumberFormat="1" applyFont="1" applyFill="1" applyBorder="1" applyAlignment="1">
      <alignment horizontal="center" vertical="center"/>
    </xf>
    <xf numFmtId="2" fontId="30" fillId="0" borderId="4" xfId="58" applyNumberFormat="1" applyFont="1" applyFill="1" applyBorder="1" applyAlignment="1">
      <alignment horizontal="center" vertical="center"/>
    </xf>
    <xf numFmtId="2" fontId="30" fillId="0" borderId="58" xfId="58" applyNumberFormat="1" applyFont="1" applyFill="1" applyBorder="1" applyAlignment="1">
      <alignment horizontal="center" vertical="center"/>
    </xf>
    <xf numFmtId="2" fontId="30" fillId="3" borderId="4" xfId="58" applyNumberFormat="1" applyFont="1" applyFill="1" applyBorder="1" applyAlignment="1">
      <alignment horizontal="center" vertical="center"/>
    </xf>
    <xf numFmtId="2" fontId="30" fillId="3" borderId="7" xfId="58" applyNumberFormat="1" applyFont="1" applyFill="1" applyBorder="1" applyAlignment="1">
      <alignment horizontal="center" vertical="center"/>
    </xf>
    <xf numFmtId="2" fontId="30" fillId="0" borderId="4" xfId="2" applyNumberFormat="1" applyFont="1" applyFill="1" applyBorder="1" applyAlignment="1">
      <alignment horizontal="center" vertical="center"/>
    </xf>
    <xf numFmtId="2" fontId="36" fillId="0" borderId="4" xfId="2" applyNumberFormat="1" applyFont="1" applyFill="1" applyBorder="1" applyAlignment="1">
      <alignment horizontal="center" vertical="center"/>
    </xf>
    <xf numFmtId="2" fontId="36" fillId="0" borderId="58" xfId="58" applyNumberFormat="1" applyFont="1" applyFill="1" applyBorder="1" applyAlignment="1">
      <alignment horizontal="center" vertical="center"/>
    </xf>
    <xf numFmtId="2" fontId="101" fillId="0" borderId="20" xfId="74" applyNumberFormat="1" applyFont="1" applyBorder="1" applyAlignment="1">
      <alignment horizontal="center" vertical="center" wrapText="1"/>
    </xf>
    <xf numFmtId="2" fontId="101" fillId="0" borderId="20" xfId="79" applyNumberFormat="1" applyFont="1" applyBorder="1" applyAlignment="1">
      <alignment horizontal="center" vertical="center" wrapText="1"/>
    </xf>
    <xf numFmtId="2" fontId="101" fillId="0" borderId="22" xfId="79" applyNumberFormat="1" applyFont="1" applyBorder="1" applyAlignment="1">
      <alignment horizontal="center" vertical="center" wrapText="1"/>
    </xf>
    <xf numFmtId="2" fontId="101" fillId="0" borderId="24" xfId="79" applyNumberFormat="1" applyFont="1" applyBorder="1" applyAlignment="1">
      <alignment horizontal="right" vertical="center"/>
    </xf>
    <xf numFmtId="2" fontId="72" fillId="0" borderId="5" xfId="2" applyNumberFormat="1" applyFont="1" applyFill="1" applyBorder="1" applyAlignment="1">
      <alignment horizontal="center" vertical="center" wrapText="1"/>
    </xf>
    <xf numFmtId="2" fontId="7" fillId="0" borderId="5" xfId="79" applyNumberFormat="1" applyFont="1" applyBorder="1" applyAlignment="1">
      <alignment horizontal="right" vertical="center"/>
    </xf>
    <xf numFmtId="2" fontId="101" fillId="0" borderId="5" xfId="79" applyNumberFormat="1" applyFont="1" applyBorder="1" applyAlignment="1">
      <alignment horizontal="right" vertical="center"/>
    </xf>
    <xf numFmtId="2" fontId="99" fillId="0" borderId="7" xfId="74" applyNumberFormat="1" applyFont="1" applyBorder="1" applyAlignment="1">
      <alignment horizontal="center" vertical="center" wrapText="1"/>
    </xf>
    <xf numFmtId="2" fontId="101" fillId="0" borderId="9" xfId="74" applyNumberFormat="1" applyFont="1" applyBorder="1" applyAlignment="1">
      <alignment horizontal="right" vertical="center"/>
    </xf>
    <xf numFmtId="2" fontId="101" fillId="0" borderId="2" xfId="74" applyNumberFormat="1" applyFont="1" applyBorder="1" applyAlignment="1">
      <alignment horizontal="right" vertical="center"/>
    </xf>
    <xf numFmtId="2" fontId="103" fillId="0" borderId="24" xfId="74" applyNumberFormat="1" applyFont="1" applyBorder="1" applyAlignment="1">
      <alignment horizontal="right" vertical="center"/>
    </xf>
    <xf numFmtId="2" fontId="103" fillId="0" borderId="7" xfId="74" applyNumberFormat="1" applyFont="1" applyBorder="1" applyAlignment="1">
      <alignment horizontal="right" vertical="center"/>
    </xf>
    <xf numFmtId="2" fontId="101" fillId="0" borderId="9" xfId="79" applyNumberFormat="1" applyFont="1" applyBorder="1" applyAlignment="1">
      <alignment horizontal="right" vertical="center"/>
    </xf>
    <xf numFmtId="2" fontId="101" fillId="0" borderId="2" xfId="79" applyNumberFormat="1" applyFont="1" applyBorder="1" applyAlignment="1">
      <alignment horizontal="right" vertical="center"/>
    </xf>
    <xf numFmtId="2" fontId="103" fillId="0" borderId="22" xfId="49" applyNumberFormat="1" applyFont="1" applyFill="1" applyBorder="1" applyAlignment="1">
      <alignment horizontal="right" vertical="center"/>
    </xf>
    <xf numFmtId="2" fontId="103" fillId="0" borderId="20" xfId="49" applyNumberFormat="1" applyFont="1" applyFill="1" applyBorder="1" applyAlignment="1">
      <alignment horizontal="right" vertical="center"/>
    </xf>
    <xf numFmtId="2" fontId="101" fillId="0" borderId="22" xfId="79" applyNumberFormat="1" applyFont="1" applyBorder="1" applyAlignment="1">
      <alignment horizontal="right" vertical="center"/>
    </xf>
    <xf numFmtId="2" fontId="103" fillId="0" borderId="5" xfId="49" applyNumberFormat="1" applyFont="1" applyFill="1" applyBorder="1" applyAlignment="1">
      <alignment horizontal="right" vertical="center"/>
    </xf>
    <xf numFmtId="2" fontId="103" fillId="0" borderId="20" xfId="74" applyNumberFormat="1" applyFont="1" applyBorder="1" applyAlignment="1">
      <alignment horizontal="right" vertical="center"/>
    </xf>
    <xf numFmtId="2" fontId="101" fillId="2" borderId="22" xfId="74" applyNumberFormat="1" applyFont="1" applyFill="1" applyBorder="1" applyAlignment="1">
      <alignment horizontal="right" vertical="center"/>
    </xf>
    <xf numFmtId="2" fontId="34" fillId="3" borderId="5" xfId="58" applyNumberFormat="1" applyFont="1" applyFill="1" applyBorder="1" applyAlignment="1">
      <alignment horizontal="center" vertical="center"/>
    </xf>
    <xf numFmtId="2" fontId="30" fillId="2" borderId="4" xfId="2" applyNumberFormat="1" applyFont="1" applyFill="1" applyBorder="1" applyAlignment="1">
      <alignment horizontal="center" vertical="center"/>
    </xf>
    <xf numFmtId="2" fontId="34" fillId="0" borderId="5" xfId="2" applyNumberFormat="1" applyFont="1" applyFill="1" applyBorder="1" applyAlignment="1">
      <alignment horizontal="center" vertical="center"/>
    </xf>
    <xf numFmtId="2" fontId="42" fillId="0" borderId="4" xfId="2" applyNumberFormat="1" applyFont="1" applyFill="1" applyBorder="1" applyAlignment="1">
      <alignment horizontal="center" vertical="center"/>
    </xf>
    <xf numFmtId="2" fontId="34" fillId="0" borderId="5" xfId="2" applyNumberFormat="1" applyFont="1" applyFill="1" applyBorder="1" applyAlignment="1">
      <alignment horizontal="center" vertical="center" wrapText="1"/>
    </xf>
    <xf numFmtId="0" fontId="42" fillId="0" borderId="0" xfId="73" applyNumberFormat="1" applyFont="1" applyFill="1" applyBorder="1" applyAlignment="1" applyProtection="1">
      <alignment horizontal="center" vertical="top" wrapText="1"/>
    </xf>
    <xf numFmtId="0" fontId="7" fillId="0" borderId="6" xfId="77" applyFont="1" applyBorder="1" applyAlignment="1">
      <alignment horizontal="center"/>
    </xf>
    <xf numFmtId="0" fontId="7" fillId="0" borderId="4" xfId="77" applyFont="1" applyBorder="1" applyAlignment="1">
      <alignment horizontal="center"/>
    </xf>
    <xf numFmtId="0" fontId="68" fillId="0" borderId="22" xfId="58" applyFont="1" applyFill="1" applyBorder="1" applyAlignment="1">
      <alignment horizontal="left" vertical="center" wrapText="1"/>
    </xf>
    <xf numFmtId="0" fontId="67" fillId="0" borderId="26" xfId="2" applyFont="1" applyFill="1" applyBorder="1" applyAlignment="1">
      <alignment horizontal="left" vertical="center"/>
    </xf>
    <xf numFmtId="0" fontId="68" fillId="0" borderId="7" xfId="58" applyFont="1" applyFill="1" applyBorder="1" applyAlignment="1">
      <alignment horizontal="left" vertical="center" wrapText="1"/>
    </xf>
    <xf numFmtId="0" fontId="113" fillId="0" borderId="5" xfId="58" applyFont="1" applyFill="1" applyBorder="1" applyAlignment="1">
      <alignment horizontal="left" vertical="center" wrapText="1"/>
    </xf>
    <xf numFmtId="0" fontId="113" fillId="0" borderId="6" xfId="58" applyFont="1" applyFill="1" applyBorder="1" applyAlignment="1">
      <alignment horizontal="center" vertical="center"/>
    </xf>
    <xf numFmtId="0" fontId="68" fillId="0" borderId="5" xfId="58" applyFont="1" applyFill="1" applyBorder="1" applyAlignment="1">
      <alignment horizontal="left" vertical="center" wrapText="1"/>
    </xf>
    <xf numFmtId="0" fontId="113" fillId="0" borderId="25" xfId="58" applyFont="1" applyFill="1" applyBorder="1" applyAlignment="1">
      <alignment horizontal="center" vertical="center"/>
    </xf>
    <xf numFmtId="0" fontId="68" fillId="0" borderId="6" xfId="58" applyFont="1" applyFill="1" applyBorder="1" applyAlignment="1">
      <alignment horizontal="center" vertical="center"/>
    </xf>
    <xf numFmtId="0" fontId="68" fillId="0" borderId="24" xfId="58" applyFont="1" applyFill="1" applyBorder="1" applyAlignment="1">
      <alignment horizontal="left" vertical="center" wrapText="1"/>
    </xf>
    <xf numFmtId="0" fontId="68" fillId="0" borderId="23" xfId="58" applyFont="1" applyFill="1" applyBorder="1" applyAlignment="1">
      <alignment horizontal="center" vertical="center"/>
    </xf>
    <xf numFmtId="0" fontId="68" fillId="0" borderId="21" xfId="58" applyFont="1" applyFill="1" applyBorder="1" applyAlignment="1">
      <alignment horizontal="center" vertical="center"/>
    </xf>
    <xf numFmtId="0" fontId="113" fillId="0" borderId="7" xfId="58" applyFont="1" applyFill="1" applyBorder="1" applyAlignment="1">
      <alignment horizontal="left" vertical="center" wrapText="1"/>
    </xf>
    <xf numFmtId="0" fontId="113" fillId="2" borderId="5" xfId="58" applyFont="1" applyFill="1" applyBorder="1" applyAlignment="1">
      <alignment horizontal="left" vertical="center" wrapText="1"/>
    </xf>
    <xf numFmtId="0" fontId="113" fillId="2" borderId="6" xfId="58" applyFont="1" applyFill="1" applyBorder="1" applyAlignment="1">
      <alignment horizontal="center" vertical="center"/>
    </xf>
    <xf numFmtId="1" fontId="36" fillId="3" borderId="9" xfId="49" applyNumberFormat="1" applyFont="1" applyFill="1" applyBorder="1" applyAlignment="1">
      <alignment horizontal="center" vertical="center"/>
    </xf>
    <xf numFmtId="1" fontId="36" fillId="3" borderId="2" xfId="49" applyNumberFormat="1" applyFont="1" applyFill="1" applyBorder="1" applyAlignment="1">
      <alignment horizontal="center" vertical="center"/>
    </xf>
    <xf numFmtId="1" fontId="30" fillId="3" borderId="24" xfId="49" applyNumberFormat="1" applyFont="1" applyFill="1" applyBorder="1" applyAlignment="1">
      <alignment horizontal="center" vertical="center"/>
    </xf>
    <xf numFmtId="1" fontId="36" fillId="3" borderId="24" xfId="49" applyNumberFormat="1" applyFont="1" applyFill="1" applyBorder="1" applyAlignment="1">
      <alignment horizontal="center" vertical="center"/>
    </xf>
    <xf numFmtId="1" fontId="36" fillId="3" borderId="5" xfId="49" applyNumberFormat="1" applyFont="1" applyFill="1" applyBorder="1" applyAlignment="1">
      <alignment horizontal="center" vertical="center"/>
    </xf>
    <xf numFmtId="1" fontId="30" fillId="3" borderId="5" xfId="49" applyNumberFormat="1" applyFont="1" applyFill="1" applyBorder="1" applyAlignment="1">
      <alignment horizontal="center" vertical="center"/>
    </xf>
    <xf numFmtId="1" fontId="30" fillId="2" borderId="5" xfId="49" applyNumberFormat="1" applyFont="1" applyFill="1" applyBorder="1" applyAlignment="1">
      <alignment horizontal="center" vertical="center"/>
    </xf>
    <xf numFmtId="1" fontId="42" fillId="3" borderId="5" xfId="49" applyNumberFormat="1" applyFont="1" applyFill="1" applyBorder="1" applyAlignment="1">
      <alignment horizontal="center" vertical="center"/>
    </xf>
    <xf numFmtId="1" fontId="34" fillId="3" borderId="56" xfId="73" applyNumberFormat="1" applyFont="1" applyFill="1" applyBorder="1" applyAlignment="1">
      <alignment horizontal="center" vertical="center" wrapText="1"/>
    </xf>
    <xf numFmtId="1" fontId="34" fillId="3" borderId="5" xfId="49" applyNumberFormat="1" applyFont="1" applyFill="1" applyBorder="1" applyAlignment="1">
      <alignment horizontal="center" vertical="center"/>
    </xf>
    <xf numFmtId="1" fontId="42" fillId="2" borderId="5" xfId="49" applyNumberFormat="1" applyFont="1" applyFill="1" applyBorder="1" applyAlignment="1">
      <alignment horizontal="center" vertical="center"/>
    </xf>
    <xf numFmtId="1" fontId="34" fillId="2" borderId="5" xfId="49" applyNumberFormat="1" applyFont="1" applyFill="1" applyBorder="1" applyAlignment="1">
      <alignment horizontal="center" vertical="center"/>
    </xf>
    <xf numFmtId="1" fontId="30" fillId="3" borderId="56" xfId="73" applyNumberFormat="1" applyFont="1" applyFill="1" applyBorder="1" applyAlignment="1">
      <alignment horizontal="center" vertical="center" wrapText="1"/>
    </xf>
    <xf numFmtId="1" fontId="36" fillId="2" borderId="5" xfId="49" applyNumberFormat="1" applyFont="1" applyFill="1" applyBorder="1" applyAlignment="1">
      <alignment horizontal="center" vertical="center"/>
    </xf>
    <xf numFmtId="1" fontId="36" fillId="0" borderId="5" xfId="49" applyNumberFormat="1" applyFont="1" applyFill="1" applyBorder="1" applyAlignment="1">
      <alignment horizontal="center" vertical="center"/>
    </xf>
    <xf numFmtId="1" fontId="34" fillId="0" borderId="5" xfId="49" applyNumberFormat="1" applyFont="1" applyFill="1" applyBorder="1" applyAlignment="1">
      <alignment horizontal="center" vertical="center"/>
    </xf>
    <xf numFmtId="1" fontId="42" fillId="0" borderId="5" xfId="49" applyNumberFormat="1" applyFont="1" applyFill="1" applyBorder="1" applyAlignment="1">
      <alignment horizontal="center" vertical="center"/>
    </xf>
    <xf numFmtId="1" fontId="34" fillId="3" borderId="7" xfId="49" applyNumberFormat="1" applyFont="1" applyFill="1" applyBorder="1" applyAlignment="1">
      <alignment horizontal="center" vertical="center"/>
    </xf>
    <xf numFmtId="1" fontId="30" fillId="3" borderId="7" xfId="49" applyNumberFormat="1" applyFont="1" applyFill="1" applyBorder="1" applyAlignment="1">
      <alignment horizontal="center" vertical="center"/>
    </xf>
    <xf numFmtId="1" fontId="72" fillId="3" borderId="5" xfId="58" applyNumberFormat="1" applyFont="1" applyFill="1" applyBorder="1" applyAlignment="1">
      <alignment horizontal="center" vertical="center"/>
    </xf>
    <xf numFmtId="1" fontId="30" fillId="20" borderId="5" xfId="49" applyNumberFormat="1" applyFont="1" applyFill="1" applyBorder="1" applyAlignment="1">
      <alignment horizontal="center" vertical="center"/>
    </xf>
    <xf numFmtId="1" fontId="34" fillId="20" borderId="5" xfId="49" applyNumberFormat="1" applyFont="1" applyFill="1" applyBorder="1" applyAlignment="1">
      <alignment horizontal="center" vertical="center"/>
    </xf>
    <xf numFmtId="1" fontId="42" fillId="3" borderId="9" xfId="49" applyNumberFormat="1" applyFont="1" applyFill="1" applyBorder="1" applyAlignment="1">
      <alignment horizontal="center" vertical="center"/>
    </xf>
    <xf numFmtId="1" fontId="42" fillId="3" borderId="2" xfId="49" applyNumberFormat="1" applyFont="1" applyFill="1" applyBorder="1" applyAlignment="1">
      <alignment horizontal="center" vertical="center"/>
    </xf>
    <xf numFmtId="1" fontId="42" fillId="3" borderId="24" xfId="49" applyNumberFormat="1" applyFont="1" applyFill="1" applyBorder="1" applyAlignment="1">
      <alignment horizontal="center" vertical="center"/>
    </xf>
    <xf numFmtId="1" fontId="42" fillId="2" borderId="24" xfId="49" applyNumberFormat="1" applyFont="1" applyFill="1" applyBorder="1" applyAlignment="1">
      <alignment horizontal="center" vertical="center"/>
    </xf>
    <xf numFmtId="1" fontId="72" fillId="0" borderId="5" xfId="58" applyNumberFormat="1" applyFont="1" applyFill="1" applyBorder="1" applyAlignment="1">
      <alignment horizontal="center" vertical="center"/>
    </xf>
    <xf numFmtId="1" fontId="30" fillId="0" borderId="5" xfId="49" applyNumberFormat="1" applyFont="1" applyFill="1" applyBorder="1" applyAlignment="1">
      <alignment horizontal="center" vertical="center"/>
    </xf>
    <xf numFmtId="1" fontId="42" fillId="0" borderId="7" xfId="49" applyNumberFormat="1" applyFont="1" applyFill="1" applyBorder="1" applyAlignment="1">
      <alignment horizontal="center" vertical="center"/>
    </xf>
    <xf numFmtId="1" fontId="34" fillId="0" borderId="7" xfId="49" applyNumberFormat="1" applyFont="1" applyFill="1" applyBorder="1" applyAlignment="1">
      <alignment horizontal="center" vertical="center"/>
    </xf>
    <xf numFmtId="1" fontId="70" fillId="0" borderId="7" xfId="49" applyNumberFormat="1" applyFont="1" applyFill="1" applyBorder="1" applyAlignment="1">
      <alignment horizontal="center" vertical="center"/>
    </xf>
    <xf numFmtId="1" fontId="42" fillId="0" borderId="9" xfId="49" applyNumberFormat="1" applyFont="1" applyFill="1" applyBorder="1" applyAlignment="1">
      <alignment horizontal="center" vertical="center"/>
    </xf>
    <xf numFmtId="1" fontId="42" fillId="2" borderId="2" xfId="49" applyNumberFormat="1" applyFont="1" applyFill="1" applyBorder="1" applyAlignment="1">
      <alignment horizontal="center" vertical="center"/>
    </xf>
    <xf numFmtId="1" fontId="70" fillId="0" borderId="5" xfId="49" applyNumberFormat="1" applyFont="1" applyFill="1" applyBorder="1" applyAlignment="1">
      <alignment horizontal="center" vertical="center"/>
    </xf>
    <xf numFmtId="1" fontId="34" fillId="3" borderId="5" xfId="73" applyNumberFormat="1" applyFont="1" applyFill="1" applyBorder="1" applyAlignment="1">
      <alignment horizontal="center" vertical="center" wrapText="1"/>
    </xf>
    <xf numFmtId="1" fontId="36" fillId="3" borderId="7" xfId="49" applyNumberFormat="1" applyFont="1" applyFill="1" applyBorder="1" applyAlignment="1">
      <alignment horizontal="center" vertical="center"/>
    </xf>
    <xf numFmtId="0" fontId="42" fillId="3" borderId="10" xfId="73" applyFont="1" applyFill="1" applyBorder="1" applyAlignment="1">
      <alignment horizontal="left" vertical="center" wrapText="1"/>
    </xf>
    <xf numFmtId="1" fontId="34" fillId="3" borderId="24" xfId="49" applyNumberFormat="1" applyFont="1" applyFill="1" applyBorder="1" applyAlignment="1">
      <alignment horizontal="center" vertical="center"/>
    </xf>
    <xf numFmtId="1" fontId="36" fillId="3" borderId="18" xfId="49" applyNumberFormat="1" applyFont="1" applyFill="1" applyBorder="1" applyAlignment="1">
      <alignment horizontal="center" vertical="center"/>
    </xf>
    <xf numFmtId="1" fontId="42" fillId="3" borderId="18" xfId="49" applyNumberFormat="1" applyFont="1" applyFill="1" applyBorder="1" applyAlignment="1">
      <alignment horizontal="center" vertical="center"/>
    </xf>
    <xf numFmtId="1" fontId="34" fillId="3" borderId="20" xfId="49" applyNumberFormat="1" applyFont="1" applyFill="1" applyBorder="1" applyAlignment="1">
      <alignment horizontal="center" vertical="center"/>
    </xf>
    <xf numFmtId="1" fontId="30" fillId="3" borderId="20" xfId="49" applyNumberFormat="1" applyFont="1" applyFill="1" applyBorder="1" applyAlignment="1">
      <alignment horizontal="center" vertical="center"/>
    </xf>
    <xf numFmtId="1" fontId="36" fillId="3" borderId="22" xfId="73" applyNumberFormat="1" applyFont="1" applyFill="1" applyBorder="1" applyAlignment="1">
      <alignment horizontal="center" vertical="center"/>
    </xf>
    <xf numFmtId="166" fontId="60" fillId="2" borderId="0" xfId="73" applyNumberFormat="1" applyFont="1" applyFill="1" applyAlignment="1" applyProtection="1"/>
    <xf numFmtId="0" fontId="30" fillId="2" borderId="0" xfId="58" applyFont="1" applyFill="1" applyAlignment="1">
      <alignment horizontal="left"/>
    </xf>
    <xf numFmtId="0" fontId="75" fillId="0" borderId="53" xfId="77" applyFont="1" applyFill="1" applyBorder="1" applyAlignment="1">
      <alignment horizontal="center" vertical="center"/>
    </xf>
    <xf numFmtId="0" fontId="7" fillId="0" borderId="5" xfId="77" applyFont="1" applyBorder="1" applyAlignment="1">
      <alignment horizontal="center" vertical="top" wrapText="1"/>
    </xf>
    <xf numFmtId="0" fontId="7" fillId="0" borderId="7" xfId="77" applyFont="1" applyBorder="1" applyAlignment="1">
      <alignment horizontal="center" vertical="top" wrapText="1"/>
    </xf>
    <xf numFmtId="0" fontId="6" fillId="0" borderId="0" xfId="89" applyFont="1"/>
    <xf numFmtId="0" fontId="7" fillId="0" borderId="0" xfId="89" applyFont="1"/>
    <xf numFmtId="0" fontId="12" fillId="0" borderId="0" xfId="89" quotePrefix="1" applyFont="1" applyAlignment="1">
      <alignment horizontal="left"/>
    </xf>
    <xf numFmtId="0" fontId="6" fillId="0" borderId="0" xfId="89" applyFont="1" applyAlignment="1">
      <alignment horizontal="right"/>
    </xf>
    <xf numFmtId="0" fontId="6" fillId="0" borderId="4" xfId="89" applyFont="1" applyFill="1" applyBorder="1" applyAlignment="1">
      <alignment horizontal="center" vertical="center" wrapText="1"/>
    </xf>
    <xf numFmtId="0" fontId="6" fillId="0" borderId="25" xfId="89" applyFont="1" applyBorder="1"/>
    <xf numFmtId="0" fontId="6" fillId="0" borderId="7" xfId="89" applyFont="1" applyBorder="1"/>
    <xf numFmtId="0" fontId="6" fillId="0" borderId="7" xfId="89" applyFont="1" applyFill="1" applyBorder="1"/>
    <xf numFmtId="0" fontId="6" fillId="0" borderId="58" xfId="89" applyFont="1" applyFill="1" applyBorder="1"/>
    <xf numFmtId="49" fontId="8" fillId="2" borderId="10" xfId="89" applyNumberFormat="1" applyFont="1" applyFill="1" applyBorder="1" applyAlignment="1">
      <alignment vertical="center"/>
    </xf>
    <xf numFmtId="0" fontId="8" fillId="2" borderId="9" xfId="89" applyFont="1" applyFill="1" applyBorder="1" applyAlignment="1">
      <alignment vertical="center" wrapText="1"/>
    </xf>
    <xf numFmtId="2" fontId="43" fillId="2" borderId="9" xfId="89" applyNumberFormat="1" applyFont="1" applyFill="1" applyBorder="1" applyAlignment="1">
      <alignment horizontal="right" vertical="center" wrapText="1"/>
    </xf>
    <xf numFmtId="2" fontId="43" fillId="2" borderId="8" xfId="89" applyNumberFormat="1" applyFont="1" applyFill="1" applyBorder="1" applyAlignment="1">
      <alignment horizontal="right" vertical="center" wrapText="1"/>
    </xf>
    <xf numFmtId="49" fontId="8" fillId="2" borderId="3" xfId="89" applyNumberFormat="1" applyFont="1" applyFill="1" applyBorder="1" applyAlignment="1">
      <alignment vertical="center"/>
    </xf>
    <xf numFmtId="0" fontId="8" fillId="2" borderId="2" xfId="89" applyFont="1" applyFill="1" applyBorder="1" applyAlignment="1">
      <alignment vertical="center" wrapText="1"/>
    </xf>
    <xf numFmtId="2" fontId="43" fillId="2" borderId="2" xfId="89" applyNumberFormat="1" applyFont="1" applyFill="1" applyBorder="1" applyAlignment="1">
      <alignment horizontal="right" vertical="center" wrapText="1"/>
    </xf>
    <xf numFmtId="2" fontId="43" fillId="2" borderId="1" xfId="89" applyNumberFormat="1" applyFont="1" applyFill="1" applyBorder="1" applyAlignment="1">
      <alignment horizontal="right" vertical="center" wrapText="1"/>
    </xf>
    <xf numFmtId="49" fontId="10" fillId="2" borderId="23" xfId="89" applyNumberFormat="1" applyFont="1" applyFill="1" applyBorder="1" applyAlignment="1">
      <alignment vertical="center"/>
    </xf>
    <xf numFmtId="0" fontId="10" fillId="2" borderId="24" xfId="89" applyFont="1" applyFill="1" applyBorder="1" applyAlignment="1">
      <alignment horizontal="center" vertical="center" wrapText="1"/>
    </xf>
    <xf numFmtId="0" fontId="10" fillId="2" borderId="24" xfId="89" applyFont="1" applyFill="1" applyBorder="1" applyAlignment="1">
      <alignment vertical="center" wrapText="1"/>
    </xf>
    <xf numFmtId="0" fontId="10" fillId="2" borderId="5" xfId="89" applyFont="1" applyFill="1" applyBorder="1" applyAlignment="1">
      <alignment vertical="center" wrapText="1"/>
    </xf>
    <xf numFmtId="2" fontId="10" fillId="2" borderId="24" xfId="89" applyNumberFormat="1" applyFont="1" applyFill="1" applyBorder="1" applyAlignment="1">
      <alignment horizontal="right" vertical="center" wrapText="1"/>
    </xf>
    <xf numFmtId="2" fontId="10" fillId="2" borderId="24" xfId="89" applyNumberFormat="1" applyFont="1" applyFill="1" applyBorder="1" applyAlignment="1">
      <alignment horizontal="right" vertical="center"/>
    </xf>
    <xf numFmtId="2" fontId="10" fillId="2" borderId="5" xfId="89" applyNumberFormat="1" applyFont="1" applyFill="1" applyBorder="1" applyAlignment="1">
      <alignment horizontal="right" vertical="center"/>
    </xf>
    <xf numFmtId="0" fontId="82" fillId="2" borderId="6" xfId="89" applyFont="1" applyFill="1" applyBorder="1" applyAlignment="1">
      <alignment vertical="center"/>
    </xf>
    <xf numFmtId="0" fontId="10" fillId="2" borderId="5" xfId="89" applyFont="1" applyFill="1" applyBorder="1" applyAlignment="1">
      <alignment horizontal="center" vertical="center" wrapText="1"/>
    </xf>
    <xf numFmtId="0" fontId="82" fillId="2" borderId="5" xfId="89" applyFont="1" applyFill="1" applyBorder="1" applyAlignment="1">
      <alignment vertical="center" wrapText="1"/>
    </xf>
    <xf numFmtId="2" fontId="10" fillId="2" borderId="5" xfId="89" applyNumberFormat="1" applyFont="1" applyFill="1" applyBorder="1" applyAlignment="1">
      <alignment horizontal="right" vertical="center" wrapText="1"/>
    </xf>
    <xf numFmtId="2" fontId="10" fillId="2" borderId="45" xfId="89" applyNumberFormat="1" applyFont="1" applyFill="1" applyBorder="1" applyAlignment="1">
      <alignment horizontal="right" vertical="center"/>
    </xf>
    <xf numFmtId="49" fontId="10" fillId="2" borderId="6" xfId="89" applyNumberFormat="1" applyFont="1" applyFill="1" applyBorder="1" applyAlignment="1">
      <alignment vertical="center"/>
    </xf>
    <xf numFmtId="0" fontId="82" fillId="2" borderId="5" xfId="89" applyFont="1" applyFill="1" applyBorder="1" applyAlignment="1">
      <alignment horizontal="center" vertical="center" wrapText="1"/>
    </xf>
    <xf numFmtId="0" fontId="10" fillId="0" borderId="5" xfId="89" applyFont="1" applyFill="1" applyBorder="1" applyAlignment="1">
      <alignment vertical="center" wrapText="1"/>
    </xf>
    <xf numFmtId="49" fontId="82" fillId="2" borderId="6" xfId="89" applyNumberFormat="1" applyFont="1" applyFill="1" applyBorder="1" applyAlignment="1">
      <alignment vertical="center"/>
    </xf>
    <xf numFmtId="2" fontId="82" fillId="2" borderId="5" xfId="89" applyNumberFormat="1" applyFont="1" applyFill="1" applyBorder="1" applyAlignment="1">
      <alignment horizontal="right" vertical="center"/>
    </xf>
    <xf numFmtId="164" fontId="10" fillId="2" borderId="5" xfId="89" applyNumberFormat="1" applyFont="1" applyFill="1" applyBorder="1" applyAlignment="1">
      <alignment horizontal="right" vertical="center"/>
    </xf>
    <xf numFmtId="2" fontId="10" fillId="2" borderId="4" xfId="89" applyNumberFormat="1" applyFont="1" applyFill="1" applyBorder="1" applyAlignment="1">
      <alignment horizontal="right" vertical="center"/>
    </xf>
    <xf numFmtId="49" fontId="10" fillId="0" borderId="6" xfId="89" applyNumberFormat="1" applyFont="1" applyBorder="1" applyAlignment="1">
      <alignment vertical="center"/>
    </xf>
    <xf numFmtId="0" fontId="10" fillId="0" borderId="5" xfId="89" applyFont="1" applyBorder="1" applyAlignment="1">
      <alignment horizontal="center" vertical="center" wrapText="1"/>
    </xf>
    <xf numFmtId="0" fontId="10" fillId="0" borderId="5" xfId="89" applyFont="1" applyBorder="1" applyAlignment="1">
      <alignment vertical="center" wrapText="1"/>
    </xf>
    <xf numFmtId="2" fontId="10" fillId="0" borderId="5" xfId="89" applyNumberFormat="1" applyFont="1" applyFill="1" applyBorder="1" applyAlignment="1">
      <alignment horizontal="right" vertical="center" wrapText="1"/>
    </xf>
    <xf numFmtId="2" fontId="10" fillId="0" borderId="5" xfId="89" applyNumberFormat="1" applyFont="1" applyFill="1" applyBorder="1" applyAlignment="1">
      <alignment horizontal="right" vertical="center"/>
    </xf>
    <xf numFmtId="2" fontId="10" fillId="0" borderId="4" xfId="89" applyNumberFormat="1" applyFont="1" applyFill="1" applyBorder="1" applyAlignment="1">
      <alignment horizontal="right" vertical="center"/>
    </xf>
    <xf numFmtId="0" fontId="10" fillId="2" borderId="7" xfId="89" applyFont="1" applyFill="1" applyBorder="1" applyAlignment="1">
      <alignment vertical="center" wrapText="1"/>
    </xf>
    <xf numFmtId="49" fontId="10" fillId="2" borderId="25" xfId="89" applyNumberFormat="1" applyFont="1" applyFill="1" applyBorder="1" applyAlignment="1">
      <alignment vertical="center"/>
    </xf>
    <xf numFmtId="0" fontId="10" fillId="2" borderId="7" xfId="89" applyFont="1" applyFill="1" applyBorder="1" applyAlignment="1">
      <alignment horizontal="center" vertical="center" wrapText="1"/>
    </xf>
    <xf numFmtId="2" fontId="10" fillId="2" borderId="7" xfId="89" applyNumberFormat="1" applyFont="1" applyFill="1" applyBorder="1" applyAlignment="1">
      <alignment horizontal="right" vertical="center" wrapText="1"/>
    </xf>
    <xf numFmtId="2" fontId="10" fillId="2" borderId="7" xfId="89" applyNumberFormat="1" applyFont="1" applyFill="1" applyBorder="1" applyAlignment="1">
      <alignment horizontal="right" vertical="center"/>
    </xf>
    <xf numFmtId="2" fontId="43" fillId="0" borderId="5" xfId="89" applyNumberFormat="1" applyFont="1" applyFill="1" applyBorder="1" applyAlignment="1">
      <alignment horizontal="right" vertical="center" wrapText="1"/>
    </xf>
    <xf numFmtId="2" fontId="43" fillId="0" borderId="4" xfId="89" applyNumberFormat="1" applyFont="1" applyFill="1" applyBorder="1" applyAlignment="1">
      <alignment horizontal="right" vertical="center" wrapText="1"/>
    </xf>
    <xf numFmtId="2" fontId="10" fillId="0" borderId="7" xfId="89" applyNumberFormat="1" applyFont="1" applyFill="1" applyBorder="1" applyAlignment="1">
      <alignment horizontal="right" vertical="center" wrapText="1"/>
    </xf>
    <xf numFmtId="2" fontId="43" fillId="0" borderId="7" xfId="89" applyNumberFormat="1" applyFont="1" applyFill="1" applyBorder="1" applyAlignment="1">
      <alignment horizontal="right" vertical="center" wrapText="1"/>
    </xf>
    <xf numFmtId="49" fontId="43" fillId="0" borderId="21" xfId="89" applyNumberFormat="1" applyFont="1" applyFill="1" applyBorder="1" applyAlignment="1">
      <alignment vertical="center"/>
    </xf>
    <xf numFmtId="0" fontId="43" fillId="0" borderId="22" xfId="89" applyFont="1" applyFill="1" applyBorder="1" applyAlignment="1">
      <alignment vertical="center" wrapText="1"/>
    </xf>
    <xf numFmtId="0" fontId="43" fillId="2" borderId="22" xfId="89" applyFont="1" applyFill="1" applyBorder="1" applyAlignment="1">
      <alignment vertical="center" wrapText="1"/>
    </xf>
    <xf numFmtId="2" fontId="43" fillId="0" borderId="22" xfId="89" applyNumberFormat="1" applyFont="1" applyFill="1" applyBorder="1" applyAlignment="1">
      <alignment horizontal="right" vertical="center" wrapText="1"/>
    </xf>
    <xf numFmtId="2" fontId="43" fillId="0" borderId="31" xfId="89" applyNumberFormat="1" applyFont="1" applyFill="1" applyBorder="1" applyAlignment="1">
      <alignment horizontal="right" vertical="center" wrapText="1"/>
    </xf>
    <xf numFmtId="49" fontId="43" fillId="0" borderId="69" xfId="89" applyNumberFormat="1" applyFont="1" applyFill="1" applyBorder="1" applyAlignment="1">
      <alignment vertical="center"/>
    </xf>
    <xf numFmtId="0" fontId="43" fillId="0" borderId="60" xfId="89" applyFont="1" applyFill="1" applyBorder="1" applyAlignment="1">
      <alignment vertical="center" wrapText="1"/>
    </xf>
    <xf numFmtId="0" fontId="43" fillId="2" borderId="60" xfId="89" applyFont="1" applyFill="1" applyBorder="1" applyAlignment="1">
      <alignment vertical="center" wrapText="1"/>
    </xf>
    <xf numFmtId="2" fontId="43" fillId="0" borderId="60" xfId="89" applyNumberFormat="1" applyFont="1" applyFill="1" applyBorder="1" applyAlignment="1">
      <alignment horizontal="right" vertical="center" wrapText="1"/>
    </xf>
    <xf numFmtId="2" fontId="43" fillId="0" borderId="70" xfId="89" applyNumberFormat="1" applyFont="1" applyFill="1" applyBorder="1" applyAlignment="1">
      <alignment horizontal="right" vertical="center" wrapText="1"/>
    </xf>
    <xf numFmtId="49" fontId="10" fillId="0" borderId="23" xfId="89" applyNumberFormat="1" applyFont="1" applyFill="1" applyBorder="1" applyAlignment="1">
      <alignment vertical="center"/>
    </xf>
    <xf numFmtId="0" fontId="10" fillId="0" borderId="24" xfId="89" applyFont="1" applyFill="1" applyBorder="1" applyAlignment="1">
      <alignment horizontal="center" vertical="center" wrapText="1"/>
    </xf>
    <xf numFmtId="0" fontId="10" fillId="0" borderId="24" xfId="89" applyFont="1" applyFill="1" applyBorder="1" applyAlignment="1">
      <alignment vertical="center" wrapText="1"/>
    </xf>
    <xf numFmtId="2" fontId="10" fillId="0" borderId="24" xfId="89" applyNumberFormat="1" applyFont="1" applyFill="1" applyBorder="1" applyAlignment="1">
      <alignment horizontal="right" vertical="center" wrapText="1"/>
    </xf>
    <xf numFmtId="2" fontId="10" fillId="0" borderId="24" xfId="89" applyNumberFormat="1" applyFont="1" applyFill="1" applyBorder="1" applyAlignment="1">
      <alignment horizontal="right" vertical="center"/>
    </xf>
    <xf numFmtId="2" fontId="10" fillId="0" borderId="42" xfId="89" applyNumberFormat="1" applyFont="1" applyFill="1" applyBorder="1" applyAlignment="1">
      <alignment horizontal="right" vertical="center"/>
    </xf>
    <xf numFmtId="49" fontId="10" fillId="0" borderId="6" xfId="89" applyNumberFormat="1" applyFont="1" applyFill="1" applyBorder="1" applyAlignment="1">
      <alignment vertical="center"/>
    </xf>
    <xf numFmtId="0" fontId="10" fillId="0" borderId="5" xfId="89" applyFont="1" applyFill="1" applyBorder="1" applyAlignment="1">
      <alignment horizontal="center" vertical="center" wrapText="1"/>
    </xf>
    <xf numFmtId="2" fontId="10" fillId="0" borderId="45" xfId="89" applyNumberFormat="1" applyFont="1" applyFill="1" applyBorder="1" applyAlignment="1">
      <alignment horizontal="right" vertical="center"/>
    </xf>
    <xf numFmtId="0" fontId="10" fillId="0" borderId="52" xfId="89" applyFont="1" applyFill="1" applyBorder="1" applyAlignment="1">
      <alignment vertical="center" wrapText="1"/>
    </xf>
    <xf numFmtId="0" fontId="1" fillId="0" borderId="0" xfId="89" applyFill="1"/>
    <xf numFmtId="0" fontId="10" fillId="0" borderId="5" xfId="89" applyFont="1" applyFill="1" applyBorder="1" applyAlignment="1">
      <alignment horizontal="left" vertical="center" wrapText="1"/>
    </xf>
    <xf numFmtId="49" fontId="82" fillId="0" borderId="6" xfId="89" applyNumberFormat="1" applyFont="1" applyFill="1" applyBorder="1" applyAlignment="1">
      <alignment vertical="center"/>
    </xf>
    <xf numFmtId="0" fontId="82" fillId="0" borderId="5" xfId="89" applyFont="1" applyFill="1" applyBorder="1" applyAlignment="1">
      <alignment horizontal="center" vertical="center" wrapText="1"/>
    </xf>
    <xf numFmtId="0" fontId="82" fillId="0" borderId="5" xfId="89" applyFont="1" applyFill="1" applyBorder="1" applyAlignment="1">
      <alignment vertical="center" wrapText="1"/>
    </xf>
    <xf numFmtId="0" fontId="6" fillId="0" borderId="0" xfId="89" applyFont="1" applyFill="1"/>
    <xf numFmtId="0" fontId="6" fillId="2" borderId="0" xfId="89" applyFont="1" applyFill="1"/>
    <xf numFmtId="2" fontId="10" fillId="2" borderId="48" xfId="89" applyNumberFormat="1" applyFont="1" applyFill="1" applyBorder="1" applyAlignment="1">
      <alignment horizontal="right" vertical="center"/>
    </xf>
    <xf numFmtId="49" fontId="43" fillId="0" borderId="10" xfId="89" applyNumberFormat="1" applyFont="1" applyBorder="1" applyAlignment="1">
      <alignment vertical="center"/>
    </xf>
    <xf numFmtId="0" fontId="43" fillId="0" borderId="9" xfId="89" applyFont="1" applyBorder="1" applyAlignment="1">
      <alignment horizontal="center" vertical="center" wrapText="1"/>
    </xf>
    <xf numFmtId="0" fontId="43" fillId="0" borderId="9" xfId="89" applyFont="1" applyBorder="1" applyAlignment="1">
      <alignment vertical="center" wrapText="1"/>
    </xf>
    <xf numFmtId="0" fontId="10" fillId="2" borderId="9" xfId="89" applyFont="1" applyFill="1" applyBorder="1" applyAlignment="1">
      <alignment vertical="center" wrapText="1"/>
    </xf>
    <xf numFmtId="164" fontId="10" fillId="0" borderId="9" xfId="89" applyNumberFormat="1" applyFont="1" applyBorder="1" applyAlignment="1">
      <alignment vertical="center" wrapText="1"/>
    </xf>
    <xf numFmtId="2" fontId="43" fillId="0" borderId="9" xfId="89" applyNumberFormat="1" applyFont="1" applyFill="1" applyBorder="1" applyAlignment="1">
      <alignment horizontal="right" vertical="center"/>
    </xf>
    <xf numFmtId="2" fontId="43" fillId="0" borderId="8" xfId="89" applyNumberFormat="1" applyFont="1" applyFill="1" applyBorder="1" applyAlignment="1">
      <alignment horizontal="right" vertical="center"/>
    </xf>
    <xf numFmtId="49" fontId="43" fillId="0" borderId="3" xfId="89" applyNumberFormat="1" applyFont="1" applyBorder="1" applyAlignment="1">
      <alignment vertical="center"/>
    </xf>
    <xf numFmtId="0" fontId="43" fillId="0" borderId="2" xfId="89" applyFont="1" applyBorder="1" applyAlignment="1">
      <alignment horizontal="center" vertical="center" wrapText="1"/>
    </xf>
    <xf numFmtId="0" fontId="43" fillId="0" borderId="2" xfId="89" applyFont="1" applyBorder="1" applyAlignment="1">
      <alignment vertical="center" wrapText="1"/>
    </xf>
    <xf numFmtId="0" fontId="10" fillId="2" borderId="2" xfId="89" applyFont="1" applyFill="1" applyBorder="1" applyAlignment="1">
      <alignment vertical="center" wrapText="1"/>
    </xf>
    <xf numFmtId="164" fontId="10" fillId="0" borderId="2" xfId="89" applyNumberFormat="1" applyFont="1" applyBorder="1" applyAlignment="1">
      <alignment vertical="center" wrapText="1"/>
    </xf>
    <xf numFmtId="2" fontId="43" fillId="0" borderId="2" xfId="89" applyNumberFormat="1" applyFont="1" applyFill="1" applyBorder="1" applyAlignment="1">
      <alignment horizontal="right" vertical="center"/>
    </xf>
    <xf numFmtId="49" fontId="43" fillId="0" borderId="19" xfId="89" applyNumberFormat="1" applyFont="1" applyBorder="1" applyAlignment="1">
      <alignment vertical="center"/>
    </xf>
    <xf numFmtId="0" fontId="43" fillId="0" borderId="20" xfId="89" applyFont="1" applyBorder="1" applyAlignment="1">
      <alignment horizontal="center" vertical="center" wrapText="1"/>
    </xf>
    <xf numFmtId="0" fontId="43" fillId="0" borderId="20" xfId="89" applyFont="1" applyBorder="1" applyAlignment="1">
      <alignment vertical="center" wrapText="1"/>
    </xf>
    <xf numFmtId="0" fontId="10" fillId="2" borderId="20" xfId="89" applyFont="1" applyFill="1" applyBorder="1" applyAlignment="1">
      <alignment vertical="center" wrapText="1"/>
    </xf>
    <xf numFmtId="164" fontId="10" fillId="0" borderId="20" xfId="89" applyNumberFormat="1" applyFont="1" applyBorder="1" applyAlignment="1">
      <alignment vertical="center" wrapText="1"/>
    </xf>
    <xf numFmtId="2" fontId="43" fillId="0" borderId="20" xfId="89" applyNumberFormat="1" applyFont="1" applyFill="1" applyBorder="1" applyAlignment="1">
      <alignment horizontal="right" vertical="center"/>
    </xf>
    <xf numFmtId="49" fontId="82" fillId="0" borderId="23" xfId="89" applyNumberFormat="1" applyFont="1" applyBorder="1" applyAlignment="1">
      <alignment vertical="center"/>
    </xf>
    <xf numFmtId="0" fontId="82" fillId="0" borderId="24" xfId="89" applyFont="1" applyBorder="1" applyAlignment="1">
      <alignment horizontal="center" vertical="center" wrapText="1"/>
    </xf>
    <xf numFmtId="0" fontId="82" fillId="0" borderId="24" xfId="89" applyFont="1" applyBorder="1" applyAlignment="1">
      <alignment vertical="center" wrapText="1"/>
    </xf>
    <xf numFmtId="0" fontId="10" fillId="0" borderId="24" xfId="89" applyFont="1" applyBorder="1" applyAlignment="1">
      <alignment vertical="center" wrapText="1"/>
    </xf>
    <xf numFmtId="0" fontId="82" fillId="2" borderId="24" xfId="89" applyFont="1" applyFill="1" applyBorder="1" applyAlignment="1">
      <alignment vertical="center" wrapText="1"/>
    </xf>
    <xf numFmtId="164" fontId="6" fillId="0" borderId="0" xfId="89" applyNumberFormat="1" applyFont="1"/>
    <xf numFmtId="0" fontId="10" fillId="2" borderId="5" xfId="89" applyFont="1" applyFill="1" applyBorder="1"/>
    <xf numFmtId="164" fontId="10" fillId="0" borderId="5" xfId="89" applyNumberFormat="1" applyFont="1" applyBorder="1" applyAlignment="1">
      <alignment vertical="center" wrapText="1"/>
    </xf>
    <xf numFmtId="0" fontId="10" fillId="2" borderId="5" xfId="89" applyFont="1" applyFill="1" applyBorder="1" applyAlignment="1">
      <alignment wrapText="1"/>
    </xf>
    <xf numFmtId="164" fontId="10" fillId="2" borderId="5" xfId="89" applyNumberFormat="1" applyFont="1" applyFill="1" applyBorder="1" applyAlignment="1">
      <alignment vertical="center" wrapText="1"/>
    </xf>
    <xf numFmtId="49" fontId="82" fillId="0" borderId="6" xfId="89" applyNumberFormat="1" applyFont="1" applyBorder="1" applyAlignment="1">
      <alignment vertical="center"/>
    </xf>
    <xf numFmtId="0" fontId="82" fillId="0" borderId="5" xfId="89" applyFont="1" applyBorder="1" applyAlignment="1">
      <alignment horizontal="center" vertical="center" wrapText="1"/>
    </xf>
    <xf numFmtId="0" fontId="82" fillId="0" borderId="5" xfId="89" applyFont="1" applyBorder="1" applyAlignment="1">
      <alignment vertical="center" wrapText="1"/>
    </xf>
    <xf numFmtId="164" fontId="82" fillId="2" borderId="5" xfId="89" applyNumberFormat="1" applyFont="1" applyFill="1" applyBorder="1" applyAlignment="1">
      <alignment vertical="center" wrapText="1"/>
    </xf>
    <xf numFmtId="49" fontId="10" fillId="0" borderId="6" xfId="89" quotePrefix="1" applyNumberFormat="1" applyFont="1" applyBorder="1" applyAlignment="1">
      <alignment vertical="center"/>
    </xf>
    <xf numFmtId="0" fontId="10" fillId="0" borderId="5" xfId="89" applyFont="1" applyBorder="1" applyAlignment="1">
      <alignment horizontal="left" vertical="center" wrapText="1"/>
    </xf>
    <xf numFmtId="49" fontId="82" fillId="0" borderId="6" xfId="89" quotePrefix="1" applyNumberFormat="1" applyFont="1" applyBorder="1" applyAlignment="1">
      <alignment vertical="center"/>
    </xf>
    <xf numFmtId="49" fontId="82" fillId="0" borderId="5" xfId="89" applyNumberFormat="1" applyFont="1" applyBorder="1" applyAlignment="1">
      <alignment vertical="center" wrapText="1"/>
    </xf>
    <xf numFmtId="49" fontId="82" fillId="0" borderId="25" xfId="89" quotePrefix="1" applyNumberFormat="1" applyFont="1" applyBorder="1" applyAlignment="1">
      <alignment vertical="center"/>
    </xf>
    <xf numFmtId="0" fontId="82" fillId="0" borderId="7" xfId="89" applyFont="1" applyBorder="1" applyAlignment="1">
      <alignment horizontal="center" vertical="center" wrapText="1"/>
    </xf>
    <xf numFmtId="0" fontId="82" fillId="0" borderId="7" xfId="89" applyFont="1" applyBorder="1" applyAlignment="1">
      <alignment vertical="center" wrapText="1"/>
    </xf>
    <xf numFmtId="0" fontId="82" fillId="2" borderId="7" xfId="89" applyFont="1" applyFill="1" applyBorder="1"/>
    <xf numFmtId="164" fontId="82" fillId="0" borderId="7" xfId="89" applyNumberFormat="1" applyFont="1" applyBorder="1" applyAlignment="1">
      <alignment vertical="center" wrapText="1"/>
    </xf>
    <xf numFmtId="2" fontId="10" fillId="0" borderId="7" xfId="89" applyNumberFormat="1" applyFont="1" applyFill="1" applyBorder="1" applyAlignment="1">
      <alignment horizontal="right" vertical="center"/>
    </xf>
    <xf numFmtId="2" fontId="10" fillId="0" borderId="64" xfId="89" applyNumberFormat="1" applyFont="1" applyFill="1" applyBorder="1" applyAlignment="1">
      <alignment horizontal="right" vertical="center"/>
    </xf>
    <xf numFmtId="2" fontId="6" fillId="0" borderId="0" xfId="89" applyNumberFormat="1" applyFont="1"/>
    <xf numFmtId="0" fontId="82" fillId="0" borderId="5" xfId="89" applyFont="1" applyBorder="1"/>
    <xf numFmtId="164" fontId="82" fillId="0" borderId="5" xfId="89" applyNumberFormat="1" applyFont="1" applyBorder="1" applyAlignment="1">
      <alignment vertical="center" wrapText="1"/>
    </xf>
    <xf numFmtId="49" fontId="82" fillId="0" borderId="19" xfId="89" quotePrefix="1" applyNumberFormat="1" applyFont="1" applyBorder="1" applyAlignment="1">
      <alignment vertical="center"/>
    </xf>
    <xf numFmtId="0" fontId="82" fillId="0" borderId="20" xfId="89" applyFont="1" applyBorder="1" applyAlignment="1">
      <alignment horizontal="center" vertical="center" wrapText="1"/>
    </xf>
    <xf numFmtId="0" fontId="82" fillId="0" borderId="20" xfId="89" applyFont="1" applyBorder="1" applyAlignment="1">
      <alignment vertical="center" wrapText="1"/>
    </xf>
    <xf numFmtId="0" fontId="82" fillId="2" borderId="20" xfId="89" applyFont="1" applyFill="1" applyBorder="1"/>
    <xf numFmtId="164" fontId="82" fillId="0" borderId="20" xfId="89" applyNumberFormat="1" applyFont="1" applyBorder="1" applyAlignment="1">
      <alignment vertical="center" wrapText="1"/>
    </xf>
    <xf numFmtId="2" fontId="10" fillId="0" borderId="20" xfId="89" applyNumberFormat="1" applyFont="1" applyFill="1" applyBorder="1" applyAlignment="1">
      <alignment horizontal="right" vertical="center" wrapText="1"/>
    </xf>
    <xf numFmtId="2" fontId="10" fillId="0" borderId="20" xfId="89" applyNumberFormat="1" applyFont="1" applyFill="1" applyBorder="1" applyAlignment="1">
      <alignment horizontal="right" vertical="center"/>
    </xf>
    <xf numFmtId="2" fontId="10" fillId="0" borderId="47" xfId="89" applyNumberFormat="1" applyFont="1" applyFill="1" applyBorder="1" applyAlignment="1">
      <alignment horizontal="right" vertical="center"/>
    </xf>
    <xf numFmtId="0" fontId="43" fillId="2" borderId="9" xfId="89" applyFont="1" applyFill="1" applyBorder="1" applyAlignment="1">
      <alignment vertical="center" wrapText="1"/>
    </xf>
    <xf numFmtId="2" fontId="43" fillId="0" borderId="9" xfId="89" applyNumberFormat="1" applyFont="1" applyFill="1" applyBorder="1" applyAlignment="1">
      <alignment horizontal="right" vertical="center" wrapText="1"/>
    </xf>
    <xf numFmtId="2" fontId="43" fillId="0" borderId="66" xfId="89" applyNumberFormat="1" applyFont="1" applyFill="1" applyBorder="1" applyAlignment="1">
      <alignment horizontal="right" vertical="center" wrapText="1"/>
    </xf>
    <xf numFmtId="0" fontId="43" fillId="2" borderId="2" xfId="89" applyFont="1" applyFill="1" applyBorder="1" applyAlignment="1">
      <alignment vertical="center" wrapText="1"/>
    </xf>
    <xf numFmtId="2" fontId="43" fillId="0" borderId="2" xfId="89" applyNumberFormat="1" applyFont="1" applyFill="1" applyBorder="1" applyAlignment="1">
      <alignment horizontal="right" vertical="center" wrapText="1"/>
    </xf>
    <xf numFmtId="2" fontId="43" fillId="0" borderId="1" xfId="89" applyNumberFormat="1" applyFont="1" applyFill="1" applyBorder="1" applyAlignment="1">
      <alignment horizontal="right" vertical="center" wrapText="1"/>
    </xf>
    <xf numFmtId="49" fontId="10" fillId="0" borderId="23" xfId="89" applyNumberFormat="1" applyFont="1" applyBorder="1" applyAlignment="1">
      <alignment vertical="center"/>
    </xf>
    <xf numFmtId="0" fontId="10" fillId="0" borderId="24" xfId="89" applyFont="1" applyBorder="1" applyAlignment="1">
      <alignment horizontal="center" vertical="center" wrapText="1"/>
    </xf>
    <xf numFmtId="0" fontId="1" fillId="0" borderId="0" xfId="89"/>
    <xf numFmtId="165" fontId="6" fillId="0" borderId="0" xfId="89" applyNumberFormat="1" applyFont="1"/>
    <xf numFmtId="0" fontId="43" fillId="0" borderId="6" xfId="89" applyFont="1" applyBorder="1" applyAlignment="1">
      <alignment vertical="center"/>
    </xf>
    <xf numFmtId="0" fontId="43" fillId="0" borderId="5" xfId="89" applyFont="1" applyBorder="1" applyAlignment="1">
      <alignment horizontal="center" vertical="center" wrapText="1"/>
    </xf>
    <xf numFmtId="0" fontId="43" fillId="0" borderId="5" xfId="89" applyFont="1" applyBorder="1" applyAlignment="1">
      <alignment vertical="center" wrapText="1"/>
    </xf>
    <xf numFmtId="2" fontId="43" fillId="0" borderId="45" xfId="89" applyNumberFormat="1" applyFont="1" applyFill="1" applyBorder="1" applyAlignment="1">
      <alignment horizontal="right" vertical="center" wrapText="1"/>
    </xf>
    <xf numFmtId="0" fontId="10" fillId="0" borderId="6" xfId="89" applyFont="1" applyBorder="1" applyAlignment="1">
      <alignment vertical="center"/>
    </xf>
    <xf numFmtId="0" fontId="10" fillId="0" borderId="25" xfId="89" applyFont="1" applyBorder="1" applyAlignment="1">
      <alignment vertical="center"/>
    </xf>
    <xf numFmtId="0" fontId="10" fillId="0" borderId="7" xfId="89" applyFont="1" applyBorder="1" applyAlignment="1">
      <alignment horizontal="center" vertical="center" wrapText="1"/>
    </xf>
    <xf numFmtId="0" fontId="10" fillId="0" borderId="7" xfId="89" applyFont="1" applyBorder="1" applyAlignment="1">
      <alignment vertical="center" wrapText="1"/>
    </xf>
    <xf numFmtId="0" fontId="43" fillId="0" borderId="21" xfId="89" applyFont="1" applyFill="1" applyBorder="1" applyAlignment="1">
      <alignment horizontal="center"/>
    </xf>
    <xf numFmtId="0" fontId="43" fillId="0" borderId="22" xfId="89" applyFont="1" applyFill="1" applyBorder="1" applyAlignment="1">
      <alignment horizontal="center"/>
    </xf>
    <xf numFmtId="0" fontId="43" fillId="0" borderId="22" xfId="89" applyFont="1" applyFill="1" applyBorder="1"/>
    <xf numFmtId="2" fontId="43" fillId="0" borderId="22" xfId="89" applyNumberFormat="1" applyFont="1" applyFill="1" applyBorder="1" applyAlignment="1">
      <alignment horizontal="right"/>
    </xf>
    <xf numFmtId="2" fontId="43" fillId="0" borderId="40" xfId="89" applyNumberFormat="1" applyFont="1" applyFill="1" applyBorder="1" applyAlignment="1">
      <alignment horizontal="right"/>
    </xf>
    <xf numFmtId="0" fontId="30" fillId="0" borderId="0" xfId="58" applyFont="1" applyFill="1" applyAlignment="1">
      <alignment horizontal="left"/>
    </xf>
    <xf numFmtId="0" fontId="7" fillId="0" borderId="5" xfId="77" applyFont="1" applyBorder="1" applyAlignment="1">
      <alignment horizontal="center"/>
    </xf>
    <xf numFmtId="4" fontId="95" fillId="2" borderId="0" xfId="2" applyNumberFormat="1" applyFont="1" applyFill="1" applyBorder="1" applyAlignment="1">
      <alignment horizontal="center" vertical="center" wrapText="1"/>
    </xf>
    <xf numFmtId="4" fontId="95" fillId="0" borderId="5" xfId="2" applyNumberFormat="1" applyFont="1" applyFill="1" applyBorder="1" applyAlignment="1">
      <alignment horizontal="center" vertical="center" wrapText="1"/>
    </xf>
    <xf numFmtId="4" fontId="114" fillId="0" borderId="5" xfId="2" applyNumberFormat="1" applyFont="1" applyFill="1" applyBorder="1" applyAlignment="1">
      <alignment horizontal="center" vertical="center" wrapText="1"/>
    </xf>
    <xf numFmtId="4" fontId="34" fillId="0" borderId="0" xfId="2" applyNumberFormat="1" applyFont="1" applyBorder="1" applyAlignment="1">
      <alignment vertical="center" wrapText="1"/>
    </xf>
    <xf numFmtId="4" fontId="115" fillId="0" borderId="0" xfId="2" applyNumberFormat="1" applyFont="1" applyBorder="1" applyAlignment="1">
      <alignment vertical="center" wrapText="1"/>
    </xf>
    <xf numFmtId="2" fontId="36" fillId="0" borderId="5" xfId="58" applyNumberFormat="1" applyFont="1" applyFill="1" applyBorder="1" applyAlignment="1">
      <alignment horizontal="right" vertical="center"/>
    </xf>
    <xf numFmtId="2" fontId="36" fillId="2" borderId="5" xfId="58" applyNumberFormat="1" applyFont="1" applyFill="1" applyBorder="1" applyAlignment="1">
      <alignment horizontal="center" vertical="center"/>
    </xf>
    <xf numFmtId="2" fontId="68" fillId="0" borderId="5" xfId="58" applyNumberFormat="1" applyFont="1" applyFill="1" applyBorder="1" applyAlignment="1">
      <alignment horizontal="center" vertical="center"/>
    </xf>
    <xf numFmtId="2" fontId="113" fillId="2" borderId="5" xfId="2" applyNumberFormat="1" applyFont="1" applyFill="1" applyBorder="1" applyAlignment="1">
      <alignment horizontal="center" vertical="center"/>
    </xf>
    <xf numFmtId="2" fontId="36" fillId="2" borderId="4" xfId="49" applyNumberFormat="1" applyFont="1" applyFill="1" applyBorder="1" applyAlignment="1">
      <alignment horizontal="center" vertical="center"/>
    </xf>
    <xf numFmtId="2" fontId="36" fillId="3" borderId="0" xfId="73" applyNumberFormat="1" applyFont="1" applyFill="1" applyBorder="1" applyAlignment="1">
      <alignment horizontal="center" vertical="center"/>
    </xf>
    <xf numFmtId="1" fontId="39" fillId="0" borderId="5" xfId="49" applyNumberFormat="1" applyFont="1" applyFill="1" applyBorder="1" applyAlignment="1">
      <alignment horizontal="center" vertical="center"/>
    </xf>
    <xf numFmtId="1" fontId="10" fillId="0" borderId="5" xfId="49" applyNumberFormat="1" applyFont="1" applyFill="1" applyBorder="1" applyAlignment="1">
      <alignment horizontal="center" vertical="center"/>
    </xf>
    <xf numFmtId="49" fontId="10" fillId="0" borderId="6" xfId="73" applyNumberFormat="1" applyFont="1" applyFill="1" applyBorder="1" applyAlignment="1">
      <alignment horizontal="center" vertical="center" wrapText="1"/>
    </xf>
    <xf numFmtId="49" fontId="10" fillId="0" borderId="5" xfId="73" applyNumberFormat="1" applyFont="1" applyFill="1" applyBorder="1" applyAlignment="1">
      <alignment horizontal="center" vertical="center" wrapText="1"/>
    </xf>
    <xf numFmtId="49" fontId="10" fillId="0" borderId="52" xfId="73" applyNumberFormat="1" applyFont="1" applyFill="1" applyBorder="1" applyAlignment="1">
      <alignment horizontal="center" vertical="center" wrapText="1"/>
    </xf>
    <xf numFmtId="2" fontId="10" fillId="0" borderId="5" xfId="49" applyNumberFormat="1" applyFont="1" applyFill="1" applyBorder="1" applyAlignment="1">
      <alignment horizontal="center" vertical="center"/>
    </xf>
    <xf numFmtId="2" fontId="10" fillId="0" borderId="7" xfId="49" applyNumberFormat="1" applyFont="1" applyFill="1" applyBorder="1" applyAlignment="1">
      <alignment horizontal="right" vertical="center"/>
    </xf>
    <xf numFmtId="0" fontId="10" fillId="2" borderId="5" xfId="73" applyFont="1" applyFill="1" applyBorder="1" applyAlignment="1">
      <alignment horizontal="left" vertical="center" wrapText="1"/>
    </xf>
    <xf numFmtId="2" fontId="10" fillId="2" borderId="58" xfId="89" applyNumberFormat="1" applyFont="1" applyFill="1" applyBorder="1" applyAlignment="1">
      <alignment horizontal="right" vertical="center"/>
    </xf>
    <xf numFmtId="1" fontId="10" fillId="0" borderId="4" xfId="49" applyNumberFormat="1" applyFont="1" applyFill="1" applyBorder="1" applyAlignment="1">
      <alignment horizontal="center" vertical="center"/>
    </xf>
    <xf numFmtId="1" fontId="10" fillId="0" borderId="45" xfId="49" applyNumberFormat="1" applyFont="1" applyFill="1" applyBorder="1" applyAlignment="1">
      <alignment horizontal="center" vertical="center"/>
    </xf>
    <xf numFmtId="2" fontId="43" fillId="0" borderId="1" xfId="89" applyNumberFormat="1" applyFont="1" applyFill="1" applyBorder="1" applyAlignment="1">
      <alignment horizontal="right" vertical="center"/>
    </xf>
    <xf numFmtId="2" fontId="43" fillId="0" borderId="54" xfId="89" applyNumberFormat="1" applyFont="1" applyFill="1" applyBorder="1" applyAlignment="1">
      <alignment horizontal="right" vertical="center"/>
    </xf>
    <xf numFmtId="2" fontId="36" fillId="3" borderId="22" xfId="73" applyNumberFormat="1" applyFont="1" applyFill="1" applyBorder="1" applyAlignment="1">
      <alignment horizontal="center" vertical="center"/>
    </xf>
    <xf numFmtId="2" fontId="42" fillId="3" borderId="22" xfId="73" applyNumberFormat="1" applyFont="1" applyFill="1" applyBorder="1" applyAlignment="1">
      <alignment horizontal="center" vertical="center"/>
    </xf>
    <xf numFmtId="2" fontId="36" fillId="2" borderId="22" xfId="73" applyNumberFormat="1" applyFont="1" applyFill="1" applyBorder="1" applyAlignment="1">
      <alignment horizontal="center" vertical="center"/>
    </xf>
    <xf numFmtId="2" fontId="36" fillId="2" borderId="31" xfId="73" applyNumberFormat="1" applyFont="1" applyFill="1" applyBorder="1" applyAlignment="1">
      <alignment horizontal="center" vertical="center"/>
    </xf>
    <xf numFmtId="0" fontId="34" fillId="0" borderId="0" xfId="2" applyFont="1" applyAlignment="1">
      <alignment horizontal="left" vertical="center" wrapText="1"/>
    </xf>
    <xf numFmtId="14" fontId="7" fillId="0" borderId="5" xfId="2" applyNumberFormat="1" applyFont="1" applyFill="1" applyBorder="1" applyAlignment="1">
      <alignment horizontal="center" vertical="center" wrapText="1"/>
    </xf>
    <xf numFmtId="2" fontId="34" fillId="2" borderId="5" xfId="49" applyNumberFormat="1" applyFont="1" applyFill="1" applyBorder="1" applyAlignment="1">
      <alignment horizontal="center" vertical="center"/>
    </xf>
    <xf numFmtId="2" fontId="42" fillId="2" borderId="9" xfId="49" applyNumberFormat="1" applyFont="1" applyFill="1" applyBorder="1" applyAlignment="1">
      <alignment horizontal="center" vertical="center"/>
    </xf>
    <xf numFmtId="2" fontId="36" fillId="2" borderId="8" xfId="49" applyNumberFormat="1" applyFont="1" applyFill="1" applyBorder="1" applyAlignment="1">
      <alignment horizontal="center" vertical="center"/>
    </xf>
    <xf numFmtId="2" fontId="36" fillId="2" borderId="2" xfId="49" applyNumberFormat="1" applyFont="1" applyFill="1" applyBorder="1" applyAlignment="1">
      <alignment horizontal="center" vertical="center"/>
    </xf>
    <xf numFmtId="2" fontId="36" fillId="2" borderId="1" xfId="49" applyNumberFormat="1" applyFont="1" applyFill="1" applyBorder="1" applyAlignment="1">
      <alignment horizontal="center" vertical="center"/>
    </xf>
    <xf numFmtId="2" fontId="69" fillId="2" borderId="24" xfId="49" applyNumberFormat="1" applyFont="1" applyFill="1" applyBorder="1" applyAlignment="1">
      <alignment horizontal="center" vertical="center"/>
    </xf>
    <xf numFmtId="2" fontId="30" fillId="2" borderId="57" xfId="49" applyNumberFormat="1" applyFont="1" applyFill="1" applyBorder="1" applyAlignment="1">
      <alignment horizontal="center" vertical="center"/>
    </xf>
    <xf numFmtId="2" fontId="30" fillId="2" borderId="5" xfId="49" applyNumberFormat="1" applyFont="1" applyFill="1" applyBorder="1" applyAlignment="1">
      <alignment horizontal="center" vertical="center"/>
    </xf>
    <xf numFmtId="2" fontId="30" fillId="3" borderId="5" xfId="49" applyNumberFormat="1" applyFont="1" applyFill="1" applyBorder="1" applyAlignment="1">
      <alignment horizontal="center" vertical="center"/>
    </xf>
    <xf numFmtId="2" fontId="42" fillId="2" borderId="5" xfId="49" applyNumberFormat="1" applyFont="1" applyFill="1" applyBorder="1" applyAlignment="1">
      <alignment horizontal="center" vertical="center"/>
    </xf>
    <xf numFmtId="2" fontId="69" fillId="2" borderId="5" xfId="49" applyNumberFormat="1" applyFont="1" applyFill="1" applyBorder="1" applyAlignment="1">
      <alignment horizontal="center" vertical="center"/>
    </xf>
    <xf numFmtId="2" fontId="70" fillId="2" borderId="5" xfId="49" applyNumberFormat="1" applyFont="1" applyFill="1" applyBorder="1" applyAlignment="1">
      <alignment horizontal="center" vertical="center"/>
    </xf>
    <xf numFmtId="2" fontId="75" fillId="2" borderId="5" xfId="49" applyNumberFormat="1" applyFont="1" applyFill="1" applyBorder="1" applyAlignment="1">
      <alignment horizontal="center" vertical="center"/>
    </xf>
    <xf numFmtId="2" fontId="7" fillId="2" borderId="5" xfId="49" applyNumberFormat="1" applyFont="1" applyFill="1" applyBorder="1" applyAlignment="1">
      <alignment horizontal="center" vertical="center"/>
    </xf>
    <xf numFmtId="2" fontId="30" fillId="2" borderId="4" xfId="49" applyNumberFormat="1" applyFont="1" applyFill="1" applyBorder="1" applyAlignment="1">
      <alignment horizontal="center" vertical="center"/>
    </xf>
    <xf numFmtId="2" fontId="30" fillId="2" borderId="7" xfId="49" applyNumberFormat="1" applyFont="1" applyFill="1" applyBorder="1" applyAlignment="1">
      <alignment horizontal="center" vertical="center"/>
    </xf>
    <xf numFmtId="2" fontId="36" fillId="2" borderId="58" xfId="49" applyNumberFormat="1" applyFont="1" applyFill="1" applyBorder="1" applyAlignment="1">
      <alignment horizontal="center" vertical="center"/>
    </xf>
    <xf numFmtId="2" fontId="36" fillId="2" borderId="9" xfId="49" applyNumberFormat="1" applyFont="1" applyFill="1" applyBorder="1" applyAlignment="1">
      <alignment horizontal="center" vertical="center"/>
    </xf>
    <xf numFmtId="2" fontId="36" fillId="3" borderId="2" xfId="49" applyNumberFormat="1" applyFont="1" applyFill="1" applyBorder="1" applyAlignment="1">
      <alignment horizontal="center" vertical="center"/>
    </xf>
    <xf numFmtId="2" fontId="42" fillId="2" borderId="24" xfId="49" applyNumberFormat="1" applyFont="1" applyFill="1" applyBorder="1" applyAlignment="1">
      <alignment horizontal="center" vertical="center"/>
    </xf>
    <xf numFmtId="2" fontId="36" fillId="2" borderId="57" xfId="49" applyNumberFormat="1" applyFont="1" applyFill="1" applyBorder="1" applyAlignment="1">
      <alignment horizontal="center" vertical="center"/>
    </xf>
    <xf numFmtId="2" fontId="36" fillId="2" borderId="5" xfId="49" applyNumberFormat="1" applyFont="1" applyFill="1" applyBorder="1" applyAlignment="1">
      <alignment horizontal="center" vertical="center"/>
    </xf>
    <xf numFmtId="2" fontId="34" fillId="2" borderId="7" xfId="49" applyNumberFormat="1" applyFont="1" applyFill="1" applyBorder="1" applyAlignment="1">
      <alignment horizontal="center" vertical="center"/>
    </xf>
    <xf numFmtId="2" fontId="42" fillId="2" borderId="7" xfId="49" applyNumberFormat="1" applyFont="1" applyFill="1" applyBorder="1" applyAlignment="1">
      <alignment horizontal="center" vertical="center"/>
    </xf>
    <xf numFmtId="2" fontId="42" fillId="2" borderId="8" xfId="49" applyNumberFormat="1" applyFont="1" applyFill="1" applyBorder="1" applyAlignment="1">
      <alignment horizontal="center" vertical="center"/>
    </xf>
    <xf numFmtId="2" fontId="42" fillId="0" borderId="5" xfId="49" applyNumberFormat="1" applyFont="1" applyFill="1" applyBorder="1" applyAlignment="1">
      <alignment horizontal="center" vertical="center"/>
    </xf>
    <xf numFmtId="2" fontId="42" fillId="2" borderId="4" xfId="49" applyNumberFormat="1" applyFont="1" applyFill="1" applyBorder="1" applyAlignment="1">
      <alignment horizontal="center" vertical="center"/>
    </xf>
    <xf numFmtId="2" fontId="70" fillId="2" borderId="7" xfId="49" applyNumberFormat="1" applyFont="1" applyFill="1" applyBorder="1" applyAlignment="1">
      <alignment horizontal="center" vertical="center"/>
    </xf>
    <xf numFmtId="2" fontId="36" fillId="2" borderId="18" xfId="49" applyNumberFormat="1" applyFont="1" applyFill="1" applyBorder="1" applyAlignment="1">
      <alignment horizontal="center" vertical="center"/>
    </xf>
    <xf numFmtId="2" fontId="70" fillId="2" borderId="20" xfId="49" applyNumberFormat="1" applyFont="1" applyFill="1" applyBorder="1" applyAlignment="1">
      <alignment horizontal="center" vertical="center"/>
    </xf>
    <xf numFmtId="2" fontId="69" fillId="2" borderId="7" xfId="49" applyNumberFormat="1" applyFont="1" applyFill="1" applyBorder="1" applyAlignment="1">
      <alignment horizontal="center" vertical="center"/>
    </xf>
    <xf numFmtId="2" fontId="36" fillId="2" borderId="0" xfId="73" applyNumberFormat="1" applyFont="1" applyFill="1" applyBorder="1" applyAlignment="1">
      <alignment horizontal="center" vertical="center"/>
    </xf>
    <xf numFmtId="2" fontId="36" fillId="2" borderId="0" xfId="49" applyNumberFormat="1" applyFont="1" applyFill="1" applyBorder="1" applyAlignment="1">
      <alignment horizontal="center" vertical="center"/>
    </xf>
    <xf numFmtId="2" fontId="42" fillId="3" borderId="5" xfId="49" applyNumberFormat="1" applyFont="1" applyFill="1" applyBorder="1" applyAlignment="1">
      <alignment horizontal="center" vertical="center"/>
    </xf>
    <xf numFmtId="2" fontId="36" fillId="3" borderId="4" xfId="49" applyNumberFormat="1" applyFont="1" applyFill="1" applyBorder="1" applyAlignment="1">
      <alignment horizontal="center" vertical="center"/>
    </xf>
    <xf numFmtId="2" fontId="34" fillId="0" borderId="7" xfId="49" applyNumberFormat="1" applyFont="1" applyFill="1" applyBorder="1" applyAlignment="1">
      <alignment horizontal="center" vertical="center"/>
    </xf>
    <xf numFmtId="2" fontId="36" fillId="0" borderId="4" xfId="49" applyNumberFormat="1" applyFont="1" applyFill="1" applyBorder="1" applyAlignment="1">
      <alignment horizontal="center" vertical="center"/>
    </xf>
    <xf numFmtId="2" fontId="42" fillId="3" borderId="7" xfId="49" applyNumberFormat="1" applyFont="1" applyFill="1" applyBorder="1" applyAlignment="1">
      <alignment horizontal="center" vertical="center"/>
    </xf>
    <xf numFmtId="2" fontId="10" fillId="0" borderId="0" xfId="73" applyNumberFormat="1" applyFont="1" applyFill="1" applyBorder="1" applyAlignment="1" applyProtection="1">
      <alignment horizontal="center" vertical="center"/>
    </xf>
    <xf numFmtId="0" fontId="7" fillId="0" borderId="71" xfId="77" applyFont="1" applyBorder="1" applyAlignment="1">
      <alignment horizontal="center" vertical="top" wrapText="1"/>
    </xf>
    <xf numFmtId="1" fontId="7" fillId="0" borderId="66" xfId="77" applyNumberFormat="1" applyFont="1" applyFill="1" applyBorder="1" applyAlignment="1">
      <alignment horizontal="center" vertical="top" wrapText="1"/>
    </xf>
    <xf numFmtId="0" fontId="7" fillId="0" borderId="73" xfId="77" applyFont="1" applyBorder="1" applyAlignment="1">
      <alignment horizontal="center" vertical="top" wrapText="1"/>
    </xf>
    <xf numFmtId="1" fontId="7" fillId="0" borderId="64" xfId="77" applyNumberFormat="1" applyFont="1" applyFill="1" applyBorder="1" applyAlignment="1">
      <alignment horizontal="center" vertical="top" wrapText="1"/>
    </xf>
    <xf numFmtId="0" fontId="7" fillId="0" borderId="43" xfId="77" applyFont="1" applyBorder="1" applyAlignment="1">
      <alignment horizontal="center" vertical="center"/>
    </xf>
    <xf numFmtId="0" fontId="79" fillId="0" borderId="43" xfId="77" applyFont="1" applyBorder="1" applyAlignment="1">
      <alignment horizontal="center" vertical="center"/>
    </xf>
    <xf numFmtId="0" fontId="79" fillId="0" borderId="73" xfId="77" applyFont="1" applyBorder="1" applyAlignment="1">
      <alignment horizontal="center" vertical="center"/>
    </xf>
    <xf numFmtId="0" fontId="7" fillId="0" borderId="73" xfId="77" applyFont="1" applyBorder="1" applyAlignment="1">
      <alignment horizontal="center" vertical="center"/>
    </xf>
    <xf numFmtId="0" fontId="75" fillId="0" borderId="73" xfId="77" applyFont="1" applyBorder="1" applyAlignment="1">
      <alignment horizontal="center" vertical="center"/>
    </xf>
    <xf numFmtId="0" fontId="75" fillId="0" borderId="43" xfId="77" applyFont="1" applyFill="1" applyBorder="1" applyAlignment="1">
      <alignment horizontal="center"/>
    </xf>
    <xf numFmtId="3" fontId="75" fillId="0" borderId="45" xfId="77" applyNumberFormat="1" applyFont="1" applyFill="1" applyBorder="1" applyAlignment="1">
      <alignment horizontal="right"/>
    </xf>
    <xf numFmtId="0" fontId="7" fillId="0" borderId="74" xfId="77" applyFont="1" applyFill="1" applyBorder="1"/>
    <xf numFmtId="0" fontId="7" fillId="0" borderId="0" xfId="77" applyFont="1" applyFill="1" applyBorder="1"/>
    <xf numFmtId="1" fontId="7" fillId="0" borderId="47" xfId="77" applyNumberFormat="1" applyFont="1" applyFill="1" applyBorder="1"/>
    <xf numFmtId="0" fontId="7" fillId="0" borderId="74" xfId="77" applyFont="1" applyBorder="1" applyAlignment="1">
      <alignment horizontal="left"/>
    </xf>
    <xf numFmtId="0" fontId="7" fillId="0" borderId="0" xfId="77" applyFont="1" applyBorder="1"/>
    <xf numFmtId="1" fontId="7" fillId="0" borderId="47" xfId="77" applyNumberFormat="1" applyFont="1" applyFill="1" applyBorder="1" applyAlignment="1">
      <alignment horizontal="right"/>
    </xf>
    <xf numFmtId="0" fontId="7" fillId="0" borderId="6" xfId="77" applyFont="1" applyBorder="1" applyAlignment="1">
      <alignment horizontal="center" vertical="top" wrapText="1"/>
    </xf>
    <xf numFmtId="1" fontId="7" fillId="0" borderId="4" xfId="77" applyNumberFormat="1" applyFont="1" applyFill="1" applyBorder="1" applyAlignment="1">
      <alignment horizontal="center" vertical="top" wrapText="1"/>
    </xf>
    <xf numFmtId="0" fontId="7" fillId="0" borderId="25" xfId="77" applyFont="1" applyBorder="1" applyAlignment="1">
      <alignment horizontal="center" vertical="top" wrapText="1"/>
    </xf>
    <xf numFmtId="1" fontId="7" fillId="0" borderId="58" xfId="77" applyNumberFormat="1" applyFont="1" applyFill="1" applyBorder="1" applyAlignment="1">
      <alignment horizontal="center" vertical="top" wrapText="1"/>
    </xf>
    <xf numFmtId="0" fontId="75" fillId="0" borderId="6" xfId="77" applyFont="1" applyFill="1" applyBorder="1" applyAlignment="1">
      <alignment horizontal="centerContinuous" vertical="center"/>
    </xf>
    <xf numFmtId="1" fontId="75" fillId="0" borderId="4" xfId="77" applyNumberFormat="1" applyFont="1" applyFill="1" applyBorder="1" applyAlignment="1">
      <alignment horizontal="center"/>
    </xf>
    <xf numFmtId="0" fontId="75" fillId="0" borderId="25" xfId="77" applyFont="1" applyFill="1" applyBorder="1" applyAlignment="1">
      <alignment horizontal="centerContinuous" vertical="center"/>
    </xf>
    <xf numFmtId="1" fontId="75" fillId="0" borderId="58" xfId="77" applyNumberFormat="1" applyFont="1" applyFill="1" applyBorder="1" applyAlignment="1">
      <alignment horizontal="center"/>
    </xf>
    <xf numFmtId="170" fontId="75" fillId="0" borderId="3" xfId="77" applyNumberFormat="1" applyFont="1" applyFill="1" applyBorder="1" applyAlignment="1">
      <alignment horizontal="center" vertical="center"/>
    </xf>
    <xf numFmtId="170" fontId="75" fillId="0" borderId="2" xfId="77" applyNumberFormat="1" applyFont="1" applyFill="1" applyBorder="1" applyAlignment="1">
      <alignment horizontal="center" vertical="center"/>
    </xf>
    <xf numFmtId="170" fontId="75" fillId="0" borderId="2" xfId="77" applyNumberFormat="1" applyFont="1" applyFill="1" applyBorder="1" applyAlignment="1">
      <alignment horizontal="left" vertical="center"/>
    </xf>
    <xf numFmtId="1" fontId="75" fillId="0" borderId="1" xfId="77" applyNumberFormat="1" applyFont="1" applyFill="1" applyBorder="1" applyAlignment="1">
      <alignment horizontal="center"/>
    </xf>
    <xf numFmtId="4" fontId="62" fillId="0" borderId="0" xfId="2" applyNumberFormat="1" applyFont="1" applyAlignment="1">
      <alignment horizontal="center" vertical="center" wrapText="1"/>
    </xf>
    <xf numFmtId="0" fontId="116" fillId="0" borderId="7" xfId="2" applyFont="1" applyFill="1" applyBorder="1" applyAlignment="1">
      <alignment horizontal="left" vertical="top" wrapText="1"/>
    </xf>
    <xf numFmtId="0" fontId="116" fillId="0" borderId="5" xfId="2" applyFont="1" applyBorder="1" applyAlignment="1">
      <alignment horizontal="left" vertical="top" wrapText="1"/>
    </xf>
    <xf numFmtId="1" fontId="75" fillId="0" borderId="45" xfId="77" applyNumberFormat="1" applyFont="1" applyFill="1" applyBorder="1" applyAlignment="1">
      <alignment horizontal="center" vertical="center"/>
    </xf>
    <xf numFmtId="2" fontId="42" fillId="3" borderId="57" xfId="49" applyNumberFormat="1" applyFont="1" applyFill="1" applyBorder="1" applyAlignment="1">
      <alignment horizontal="right" vertical="center"/>
    </xf>
    <xf numFmtId="0" fontId="34" fillId="3" borderId="23" xfId="73" applyFont="1" applyFill="1" applyBorder="1" applyAlignment="1">
      <alignment horizontal="center" vertical="center" wrapText="1"/>
    </xf>
    <xf numFmtId="2" fontId="42" fillId="3" borderId="57" xfId="73" applyNumberFormat="1" applyFont="1" applyFill="1" applyBorder="1" applyAlignment="1">
      <alignment horizontal="right" vertical="center"/>
    </xf>
    <xf numFmtId="0" fontId="34" fillId="3" borderId="3" xfId="73" applyFont="1" applyFill="1" applyBorder="1" applyAlignment="1">
      <alignment horizontal="center" vertical="center" wrapText="1"/>
    </xf>
    <xf numFmtId="2" fontId="36" fillId="3" borderId="2" xfId="73" applyNumberFormat="1" applyFont="1" applyFill="1" applyBorder="1" applyAlignment="1">
      <alignment vertical="center"/>
    </xf>
    <xf numFmtId="2" fontId="36" fillId="3" borderId="1" xfId="73" applyNumberFormat="1" applyFont="1" applyFill="1" applyBorder="1" applyAlignment="1">
      <alignment vertical="center"/>
    </xf>
    <xf numFmtId="2" fontId="42" fillId="3" borderId="52" xfId="73" applyNumberFormat="1" applyFont="1" applyFill="1" applyBorder="1" applyAlignment="1">
      <alignment vertical="center"/>
    </xf>
    <xf numFmtId="4" fontId="117" fillId="0" borderId="0" xfId="2" applyNumberFormat="1" applyFont="1" applyBorder="1" applyAlignment="1">
      <alignment horizontal="center" vertical="center" wrapText="1"/>
    </xf>
    <xf numFmtId="0" fontId="119" fillId="0" borderId="0" xfId="58" applyFont="1" applyAlignment="1">
      <alignment horizontal="right"/>
    </xf>
    <xf numFmtId="0" fontId="119" fillId="0" borderId="0" xfId="58" applyFont="1" applyFill="1" applyAlignment="1">
      <alignment horizontal="right"/>
    </xf>
    <xf numFmtId="1" fontId="119" fillId="0" borderId="0" xfId="58" applyNumberFormat="1" applyFont="1" applyAlignment="1">
      <alignment horizontal="right"/>
    </xf>
    <xf numFmtId="2" fontId="119" fillId="0" borderId="0" xfId="58" applyNumberFormat="1" applyFont="1" applyAlignment="1">
      <alignment horizontal="right"/>
    </xf>
    <xf numFmtId="2" fontId="36" fillId="0" borderId="53" xfId="58" applyNumberFormat="1" applyFont="1" applyFill="1" applyBorder="1" applyAlignment="1">
      <alignment horizontal="center" vertical="center"/>
    </xf>
    <xf numFmtId="2" fontId="68" fillId="0" borderId="53" xfId="58" applyNumberFormat="1" applyFont="1" applyFill="1" applyBorder="1" applyAlignment="1">
      <alignment horizontal="center" vertical="center"/>
    </xf>
    <xf numFmtId="0" fontId="113" fillId="0" borderId="24" xfId="58" applyFont="1" applyFill="1" applyBorder="1" applyAlignment="1">
      <alignment horizontal="left" vertical="center" wrapText="1"/>
    </xf>
    <xf numFmtId="0" fontId="110" fillId="21" borderId="5" xfId="0" applyFont="1" applyFill="1" applyBorder="1" applyAlignment="1">
      <alignment horizontal="left" vertical="center" wrapText="1"/>
    </xf>
    <xf numFmtId="49" fontId="10" fillId="3" borderId="52" xfId="73" applyNumberFormat="1" applyFont="1" applyFill="1" applyBorder="1" applyAlignment="1">
      <alignment horizontal="center" vertical="center" wrapText="1"/>
    </xf>
    <xf numFmtId="0" fontId="10" fillId="3" borderId="6" xfId="73" applyFont="1" applyFill="1" applyBorder="1" applyAlignment="1">
      <alignment horizontal="left" vertical="center" wrapText="1"/>
    </xf>
    <xf numFmtId="2" fontId="36" fillId="0" borderId="5" xfId="49" applyNumberFormat="1" applyFont="1" applyFill="1" applyBorder="1" applyAlignment="1">
      <alignment horizontal="center" vertical="center"/>
    </xf>
    <xf numFmtId="2" fontId="72" fillId="0" borderId="5" xfId="58" applyNumberFormat="1" applyFont="1" applyFill="1" applyBorder="1" applyAlignment="1">
      <alignment horizontal="center" vertical="center"/>
    </xf>
    <xf numFmtId="2" fontId="34" fillId="2" borderId="5" xfId="73" applyNumberFormat="1" applyFont="1" applyFill="1" applyBorder="1" applyAlignment="1">
      <alignment horizontal="center" vertical="center" wrapText="1"/>
    </xf>
    <xf numFmtId="1" fontId="35" fillId="0" borderId="5" xfId="49" applyNumberFormat="1" applyFont="1" applyFill="1" applyBorder="1" applyAlignment="1">
      <alignment horizontal="center" vertical="center"/>
    </xf>
    <xf numFmtId="2" fontId="39" fillId="0" borderId="5" xfId="2" applyNumberFormat="1" applyFont="1" applyFill="1" applyBorder="1" applyAlignment="1">
      <alignment horizontal="center" vertical="center"/>
    </xf>
    <xf numFmtId="3" fontId="68" fillId="0" borderId="22" xfId="58" applyNumberFormat="1" applyFont="1" applyFill="1" applyBorder="1" applyAlignment="1">
      <alignment horizontal="center" vertical="center"/>
    </xf>
    <xf numFmtId="3" fontId="68" fillId="0" borderId="24" xfId="58" applyNumberFormat="1" applyFont="1" applyFill="1" applyBorder="1" applyAlignment="1">
      <alignment horizontal="center" vertical="center"/>
    </xf>
    <xf numFmtId="3" fontId="68" fillId="0" borderId="5" xfId="58" applyNumberFormat="1" applyFont="1" applyFill="1" applyBorder="1" applyAlignment="1">
      <alignment horizontal="center" vertical="center"/>
    </xf>
    <xf numFmtId="3" fontId="113" fillId="0" borderId="5" xfId="58" applyNumberFormat="1" applyFont="1" applyFill="1" applyBorder="1" applyAlignment="1">
      <alignment horizontal="center" vertical="center"/>
    </xf>
    <xf numFmtId="3" fontId="78" fillId="0" borderId="5" xfId="58" applyNumberFormat="1" applyFont="1" applyFill="1" applyBorder="1" applyAlignment="1">
      <alignment horizontal="center" vertical="center"/>
    </xf>
    <xf numFmtId="3" fontId="113" fillId="0" borderId="7" xfId="58" applyNumberFormat="1" applyFont="1" applyFill="1" applyBorder="1" applyAlignment="1">
      <alignment horizontal="center" vertical="center"/>
    </xf>
    <xf numFmtId="3" fontId="113" fillId="3" borderId="5" xfId="58" applyNumberFormat="1" applyFont="1" applyFill="1" applyBorder="1" applyAlignment="1">
      <alignment horizontal="center" vertical="center"/>
    </xf>
    <xf numFmtId="3" fontId="113" fillId="0" borderId="24" xfId="58" applyNumberFormat="1" applyFont="1" applyFill="1" applyBorder="1" applyAlignment="1">
      <alignment horizontal="center" vertical="center"/>
    </xf>
    <xf numFmtId="3" fontId="68" fillId="0" borderId="7" xfId="58" applyNumberFormat="1" applyFont="1" applyFill="1" applyBorder="1" applyAlignment="1">
      <alignment horizontal="center" vertical="center"/>
    </xf>
    <xf numFmtId="3" fontId="68" fillId="0" borderId="24" xfId="2" applyNumberFormat="1" applyFont="1" applyFill="1" applyBorder="1" applyAlignment="1">
      <alignment horizontal="center" vertical="center"/>
    </xf>
    <xf numFmtId="3" fontId="113" fillId="0" borderId="5" xfId="2" applyNumberFormat="1" applyFont="1" applyFill="1" applyBorder="1" applyAlignment="1">
      <alignment horizontal="center" vertical="center"/>
    </xf>
    <xf numFmtId="3" fontId="67" fillId="0" borderId="5" xfId="58" applyNumberFormat="1" applyFont="1" applyFill="1" applyBorder="1" applyAlignment="1">
      <alignment horizontal="center" vertical="center"/>
    </xf>
    <xf numFmtId="3" fontId="67" fillId="0" borderId="5" xfId="2" applyNumberFormat="1" applyFont="1" applyFill="1" applyBorder="1" applyAlignment="1">
      <alignment horizontal="center" vertical="center"/>
    </xf>
    <xf numFmtId="3" fontId="68" fillId="0" borderId="5" xfId="2" applyNumberFormat="1" applyFont="1" applyFill="1" applyBorder="1" applyAlignment="1">
      <alignment horizontal="center" vertical="center"/>
    </xf>
    <xf numFmtId="3" fontId="78" fillId="0" borderId="5" xfId="2" applyNumberFormat="1" applyFont="1" applyFill="1" applyBorder="1" applyAlignment="1">
      <alignment horizontal="center" vertical="center"/>
    </xf>
    <xf numFmtId="0" fontId="68" fillId="0" borderId="19" xfId="58" applyFont="1" applyFill="1" applyBorder="1" applyAlignment="1">
      <alignment horizontal="left" vertical="center"/>
    </xf>
    <xf numFmtId="0" fontId="68" fillId="0" borderId="20" xfId="58" applyFont="1" applyFill="1" applyBorder="1" applyAlignment="1">
      <alignment horizontal="left" vertical="center" wrapText="1"/>
    </xf>
    <xf numFmtId="3" fontId="68" fillId="0" borderId="20" xfId="58" applyNumberFormat="1" applyFont="1" applyFill="1" applyBorder="1" applyAlignment="1">
      <alignment horizontal="center" vertical="center"/>
    </xf>
    <xf numFmtId="0" fontId="120" fillId="21" borderId="5" xfId="0" applyFont="1" applyFill="1" applyBorder="1" applyAlignment="1">
      <alignment horizontal="left" vertical="center" wrapText="1"/>
    </xf>
    <xf numFmtId="1" fontId="7" fillId="0" borderId="64" xfId="77" applyNumberFormat="1" applyFont="1" applyBorder="1" applyAlignment="1">
      <alignment horizontal="center" vertical="center"/>
    </xf>
    <xf numFmtId="1" fontId="7" fillId="0" borderId="45" xfId="77" applyNumberFormat="1" applyFont="1" applyFill="1" applyBorder="1" applyAlignment="1">
      <alignment horizontal="center" vertical="center"/>
    </xf>
    <xf numFmtId="1" fontId="79" fillId="0" borderId="4" xfId="77" applyNumberFormat="1" applyFont="1" applyFill="1" applyBorder="1" applyAlignment="1">
      <alignment horizontal="center" vertical="center"/>
    </xf>
    <xf numFmtId="1" fontId="7" fillId="0" borderId="4" xfId="77" applyNumberFormat="1" applyFont="1" applyFill="1" applyBorder="1" applyAlignment="1">
      <alignment horizontal="center" vertical="center"/>
    </xf>
    <xf numFmtId="1" fontId="79" fillId="0" borderId="45" xfId="77" applyNumberFormat="1" applyFont="1" applyFill="1" applyBorder="1" applyAlignment="1">
      <alignment horizontal="center" vertical="center"/>
    </xf>
    <xf numFmtId="1" fontId="7" fillId="0" borderId="64" xfId="77" applyNumberFormat="1" applyFont="1" applyFill="1" applyBorder="1" applyAlignment="1">
      <alignment horizontal="center" vertical="center"/>
    </xf>
    <xf numFmtId="1" fontId="79" fillId="0" borderId="64" xfId="77" applyNumberFormat="1" applyFont="1" applyFill="1" applyBorder="1" applyAlignment="1">
      <alignment horizontal="center" vertical="center"/>
    </xf>
    <xf numFmtId="1" fontId="75" fillId="0" borderId="64" xfId="77" applyNumberFormat="1" applyFont="1" applyFill="1" applyBorder="1" applyAlignment="1">
      <alignment horizontal="center" vertical="center"/>
    </xf>
    <xf numFmtId="0" fontId="7" fillId="3" borderId="6" xfId="73" applyFont="1" applyFill="1" applyBorder="1" applyAlignment="1">
      <alignment horizontal="left" vertical="center" wrapText="1"/>
    </xf>
    <xf numFmtId="0" fontId="7" fillId="0" borderId="6" xfId="73" applyFont="1" applyFill="1" applyBorder="1" applyAlignment="1">
      <alignment horizontal="left" vertical="center" wrapText="1"/>
    </xf>
    <xf numFmtId="0" fontId="6" fillId="0" borderId="0" xfId="0" applyFont="1" applyBorder="1" applyAlignment="1">
      <alignment horizontal="center" vertical="center"/>
    </xf>
    <xf numFmtId="0" fontId="6" fillId="0" borderId="0" xfId="0" applyFont="1" applyBorder="1" applyAlignment="1">
      <alignment vertical="center" wrapText="1"/>
    </xf>
    <xf numFmtId="4" fontId="6" fillId="0" borderId="0" xfId="0" applyNumberFormat="1" applyFont="1" applyBorder="1" applyAlignment="1">
      <alignment vertical="center"/>
    </xf>
    <xf numFmtId="4" fontId="8" fillId="2" borderId="0" xfId="0" applyNumberFormat="1" applyFont="1" applyFill="1" applyBorder="1" applyAlignment="1">
      <alignment vertical="center"/>
    </xf>
    <xf numFmtId="0" fontId="75" fillId="0" borderId="6" xfId="73" applyFont="1" applyFill="1" applyBorder="1" applyAlignment="1">
      <alignment horizontal="left" vertical="center" wrapText="1"/>
    </xf>
    <xf numFmtId="0" fontId="7" fillId="0" borderId="25" xfId="73" applyFont="1" applyFill="1" applyBorder="1" applyAlignment="1">
      <alignment horizontal="left" vertical="center" wrapText="1"/>
    </xf>
    <xf numFmtId="0" fontId="75" fillId="3" borderId="6" xfId="73" applyFont="1" applyFill="1" applyBorder="1" applyAlignment="1">
      <alignment horizontal="left" vertical="center" wrapText="1"/>
    </xf>
    <xf numFmtId="2" fontId="10" fillId="0" borderId="5" xfId="89" applyNumberFormat="1" applyFont="1" applyBorder="1" applyAlignment="1">
      <alignment vertical="center" wrapText="1"/>
    </xf>
    <xf numFmtId="4" fontId="107" fillId="2" borderId="56" xfId="2" applyNumberFormat="1" applyFont="1" applyFill="1" applyBorder="1" applyAlignment="1">
      <alignment horizontal="center" vertical="center" wrapText="1"/>
    </xf>
    <xf numFmtId="2" fontId="18" fillId="0" borderId="0" xfId="58" applyNumberFormat="1" applyAlignment="1">
      <alignment wrapText="1"/>
    </xf>
    <xf numFmtId="4" fontId="107" fillId="0" borderId="5" xfId="2" applyNumberFormat="1" applyFont="1" applyFill="1" applyBorder="1" applyAlignment="1">
      <alignment horizontal="center" vertical="center" wrapText="1"/>
    </xf>
    <xf numFmtId="4" fontId="123" fillId="2" borderId="5" xfId="2" applyNumberFormat="1" applyFont="1" applyFill="1" applyBorder="1" applyAlignment="1">
      <alignment horizontal="center" vertical="center" wrapText="1"/>
    </xf>
    <xf numFmtId="3" fontId="113" fillId="2" borderId="5" xfId="58" applyNumberFormat="1" applyFont="1" applyFill="1" applyBorder="1" applyAlignment="1">
      <alignment horizontal="center" vertical="center"/>
    </xf>
    <xf numFmtId="1" fontId="80" fillId="0" borderId="0" xfId="2" applyNumberFormat="1" applyFont="1"/>
    <xf numFmtId="1" fontId="75" fillId="2" borderId="64" xfId="77" applyNumberFormat="1" applyFont="1" applyFill="1" applyBorder="1" applyAlignment="1">
      <alignment horizontal="center"/>
    </xf>
    <xf numFmtId="4" fontId="0" fillId="0" borderId="0" xfId="0" applyNumberFormat="1"/>
    <xf numFmtId="4" fontId="118" fillId="2" borderId="5" xfId="2" applyNumberFormat="1" applyFont="1" applyFill="1" applyBorder="1" applyAlignment="1">
      <alignment horizontal="center" vertical="center" wrapText="1"/>
    </xf>
    <xf numFmtId="0" fontId="6" fillId="0" borderId="24" xfId="0" applyFont="1" applyBorder="1" applyAlignment="1">
      <alignment vertical="center" wrapText="1"/>
    </xf>
    <xf numFmtId="4" fontId="6" fillId="0" borderId="24" xfId="0" applyNumberFormat="1" applyFont="1" applyBorder="1" applyAlignment="1">
      <alignment vertical="center"/>
    </xf>
    <xf numFmtId="4" fontId="8" fillId="2" borderId="24" xfId="0" applyNumberFormat="1" applyFont="1" applyFill="1" applyBorder="1" applyAlignment="1">
      <alignment vertical="center"/>
    </xf>
    <xf numFmtId="4" fontId="8" fillId="2" borderId="4" xfId="0" applyNumberFormat="1" applyFont="1" applyFill="1" applyBorder="1" applyAlignment="1">
      <alignment vertical="center"/>
    </xf>
    <xf numFmtId="0" fontId="6" fillId="0" borderId="6" xfId="0" applyFont="1" applyBorder="1" applyAlignment="1">
      <alignment horizontal="center" vertical="center"/>
    </xf>
    <xf numFmtId="0" fontId="6" fillId="0" borderId="23" xfId="0" applyFont="1" applyBorder="1" applyAlignment="1">
      <alignment horizontal="center" vertical="center"/>
    </xf>
    <xf numFmtId="4" fontId="8" fillId="2" borderId="57" xfId="0" applyNumberFormat="1" applyFont="1" applyFill="1" applyBorder="1" applyAlignment="1">
      <alignment vertical="center"/>
    </xf>
    <xf numFmtId="0" fontId="8" fillId="0" borderId="21" xfId="0" applyFont="1" applyBorder="1" applyAlignment="1">
      <alignment horizontal="center" vertical="center"/>
    </xf>
    <xf numFmtId="0" fontId="8" fillId="0" borderId="22" xfId="0" applyFont="1" applyBorder="1" applyAlignment="1">
      <alignment vertical="center" wrapText="1"/>
    </xf>
    <xf numFmtId="4" fontId="8" fillId="0" borderId="22" xfId="0" applyNumberFormat="1" applyFont="1" applyBorder="1" applyAlignment="1">
      <alignment vertical="center"/>
    </xf>
    <xf numFmtId="4" fontId="8" fillId="2" borderId="22" xfId="0" applyNumberFormat="1" applyFont="1" applyFill="1" applyBorder="1" applyAlignment="1">
      <alignment vertical="center"/>
    </xf>
    <xf numFmtId="4" fontId="8" fillId="2" borderId="31" xfId="0" applyNumberFormat="1" applyFont="1" applyFill="1" applyBorder="1" applyAlignment="1">
      <alignment vertical="center"/>
    </xf>
    <xf numFmtId="0" fontId="6" fillId="0" borderId="25" xfId="0" applyFont="1" applyBorder="1" applyAlignment="1">
      <alignment horizontal="center" vertical="center"/>
    </xf>
    <xf numFmtId="0" fontId="6" fillId="0" borderId="7" xfId="0" applyFont="1" applyBorder="1" applyAlignment="1">
      <alignment vertical="center" wrapText="1"/>
    </xf>
    <xf numFmtId="4" fontId="6" fillId="0" borderId="7" xfId="0" applyNumberFormat="1" applyFont="1" applyBorder="1" applyAlignment="1">
      <alignment vertical="center"/>
    </xf>
    <xf numFmtId="4" fontId="8" fillId="2" borderId="7" xfId="0" applyNumberFormat="1" applyFont="1" applyFill="1" applyBorder="1" applyAlignment="1">
      <alignment vertical="center"/>
    </xf>
    <xf numFmtId="4" fontId="8" fillId="2" borderId="58" xfId="0" applyNumberFormat="1" applyFont="1" applyFill="1" applyBorder="1" applyAlignment="1">
      <alignment vertical="center"/>
    </xf>
    <xf numFmtId="0" fontId="124" fillId="0" borderId="0" xfId="58" applyFont="1" applyAlignment="1">
      <alignment horizontal="right"/>
    </xf>
    <xf numFmtId="0" fontId="124" fillId="0" borderId="0" xfId="58" applyFont="1" applyFill="1" applyAlignment="1">
      <alignment horizontal="right"/>
    </xf>
    <xf numFmtId="1" fontId="124" fillId="0" borderId="0" xfId="58" applyNumberFormat="1" applyFont="1" applyAlignment="1">
      <alignment horizontal="right"/>
    </xf>
    <xf numFmtId="2" fontId="10" fillId="2" borderId="5" xfId="49" applyNumberFormat="1" applyFont="1" applyFill="1" applyBorder="1" applyAlignment="1">
      <alignment horizontal="center" vertical="center"/>
    </xf>
    <xf numFmtId="2" fontId="103" fillId="2" borderId="5" xfId="49" applyNumberFormat="1" applyFont="1" applyFill="1" applyBorder="1" applyAlignment="1">
      <alignment horizontal="center" vertical="center"/>
    </xf>
    <xf numFmtId="4" fontId="125" fillId="2" borderId="22" xfId="2" applyNumberFormat="1" applyFont="1" applyFill="1" applyBorder="1" applyAlignment="1">
      <alignment horizontal="center" vertical="center" wrapText="1"/>
    </xf>
    <xf numFmtId="4" fontId="43" fillId="3" borderId="22" xfId="2" applyNumberFormat="1" applyFont="1" applyFill="1" applyBorder="1" applyAlignment="1">
      <alignment horizontal="center" vertical="center" wrapText="1"/>
    </xf>
    <xf numFmtId="0" fontId="113" fillId="2" borderId="5" xfId="2" applyFont="1" applyFill="1" applyBorder="1" applyAlignment="1">
      <alignment horizontal="left" vertical="center" wrapText="1"/>
    </xf>
    <xf numFmtId="0" fontId="113" fillId="2" borderId="6" xfId="2" applyFont="1" applyFill="1" applyBorder="1" applyAlignment="1">
      <alignment horizontal="center" vertical="center"/>
    </xf>
    <xf numFmtId="4" fontId="118" fillId="0" borderId="5" xfId="2" applyNumberFormat="1" applyFont="1" applyFill="1" applyBorder="1" applyAlignment="1">
      <alignment horizontal="center" vertical="center" wrapText="1"/>
    </xf>
    <xf numFmtId="0" fontId="34" fillId="22" borderId="4" xfId="2" applyFont="1" applyFill="1" applyBorder="1" applyAlignment="1">
      <alignment vertical="center" wrapText="1"/>
    </xf>
    <xf numFmtId="49" fontId="111" fillId="0" borderId="24" xfId="2" applyNumberFormat="1" applyFont="1" applyFill="1" applyBorder="1" applyAlignment="1">
      <alignment horizontal="center" vertical="center"/>
    </xf>
    <xf numFmtId="2" fontId="111" fillId="0" borderId="24" xfId="2" applyNumberFormat="1" applyFont="1" applyFill="1" applyBorder="1" applyAlignment="1">
      <alignment horizontal="center" vertical="center" wrapText="1"/>
    </xf>
    <xf numFmtId="0" fontId="103" fillId="0" borderId="24" xfId="79" applyFont="1" applyBorder="1" applyAlignment="1">
      <alignment horizontal="center" vertical="center" wrapText="1"/>
    </xf>
    <xf numFmtId="2" fontId="7" fillId="0" borderId="24" xfId="79" applyNumberFormat="1" applyFont="1" applyBorder="1" applyAlignment="1">
      <alignment horizontal="right" vertical="center"/>
    </xf>
    <xf numFmtId="4" fontId="34" fillId="0" borderId="7" xfId="2" applyNumberFormat="1" applyFont="1" applyFill="1" applyBorder="1" applyAlignment="1">
      <alignment horizontal="center" vertical="center" wrapText="1"/>
    </xf>
    <xf numFmtId="4" fontId="42" fillId="0" borderId="5" xfId="2" applyNumberFormat="1" applyFont="1" applyFill="1" applyBorder="1" applyAlignment="1">
      <alignment horizontal="center" vertical="center" wrapText="1"/>
    </xf>
    <xf numFmtId="4" fontId="34" fillId="0" borderId="56" xfId="2" applyNumberFormat="1" applyFont="1" applyFill="1" applyBorder="1" applyAlignment="1">
      <alignment horizontal="center" vertical="center" wrapText="1"/>
    </xf>
    <xf numFmtId="4" fontId="34" fillId="0" borderId="9" xfId="2" applyNumberFormat="1" applyFont="1" applyFill="1" applyBorder="1" applyAlignment="1">
      <alignment horizontal="center" vertical="center" wrapText="1"/>
    </xf>
    <xf numFmtId="4" fontId="34" fillId="0" borderId="52" xfId="2" applyNumberFormat="1" applyFont="1" applyFill="1" applyBorder="1" applyAlignment="1">
      <alignment horizontal="center" vertical="center" wrapText="1"/>
    </xf>
    <xf numFmtId="0" fontId="63" fillId="3" borderId="7" xfId="73" applyNumberFormat="1" applyFont="1" applyFill="1" applyBorder="1" applyAlignment="1" applyProtection="1">
      <alignment horizontal="center" vertical="center" wrapText="1"/>
    </xf>
    <xf numFmtId="0" fontId="65" fillId="2" borderId="7" xfId="73" applyNumberFormat="1" applyFont="1" applyFill="1" applyBorder="1" applyAlignment="1" applyProtection="1">
      <alignment horizontal="center" vertical="center" wrapText="1"/>
    </xf>
    <xf numFmtId="0" fontId="63" fillId="2" borderId="7" xfId="73" applyNumberFormat="1" applyFont="1" applyFill="1" applyBorder="1" applyAlignment="1" applyProtection="1">
      <alignment horizontal="center" vertical="center" wrapText="1"/>
    </xf>
    <xf numFmtId="0" fontId="75" fillId="0" borderId="6" xfId="77" applyFont="1" applyBorder="1" applyAlignment="1">
      <alignment horizontal="center"/>
    </xf>
    <xf numFmtId="0" fontId="75" fillId="0" borderId="5" xfId="77" applyFont="1" applyBorder="1" applyAlignment="1">
      <alignment horizontal="center"/>
    </xf>
    <xf numFmtId="0" fontId="75" fillId="0" borderId="4" xfId="77" applyFont="1" applyBorder="1" applyAlignment="1">
      <alignment horizontal="center"/>
    </xf>
    <xf numFmtId="0" fontId="75" fillId="0" borderId="43" xfId="77" applyFont="1" applyBorder="1" applyAlignment="1">
      <alignment horizontal="center" vertical="center"/>
    </xf>
    <xf numFmtId="0" fontId="6" fillId="0" borderId="5" xfId="89" applyFont="1" applyFill="1" applyBorder="1" applyAlignment="1">
      <alignment horizontal="center" vertical="center" wrapText="1"/>
    </xf>
    <xf numFmtId="2" fontId="43" fillId="0" borderId="58" xfId="89" applyNumberFormat="1" applyFont="1" applyFill="1" applyBorder="1" applyAlignment="1">
      <alignment horizontal="right" vertical="center" wrapText="1"/>
    </xf>
    <xf numFmtId="2" fontId="10" fillId="0" borderId="4" xfId="49" applyNumberFormat="1" applyFont="1" applyFill="1" applyBorder="1" applyAlignment="1">
      <alignment horizontal="right" vertical="center"/>
    </xf>
    <xf numFmtId="2" fontId="10" fillId="0" borderId="57" xfId="89" applyNumberFormat="1" applyFont="1" applyFill="1" applyBorder="1" applyAlignment="1">
      <alignment horizontal="right" vertical="center"/>
    </xf>
    <xf numFmtId="2" fontId="10" fillId="2" borderId="4" xfId="49" applyNumberFormat="1" applyFont="1" applyFill="1" applyBorder="1" applyAlignment="1">
      <alignment horizontal="center" vertical="center"/>
    </xf>
    <xf numFmtId="3" fontId="68" fillId="0" borderId="31" xfId="58" applyNumberFormat="1" applyFont="1" applyFill="1" applyBorder="1" applyAlignment="1">
      <alignment horizontal="center" vertical="center"/>
    </xf>
    <xf numFmtId="3" fontId="68" fillId="0" borderId="57" xfId="58" applyNumberFormat="1" applyFont="1" applyFill="1" applyBorder="1" applyAlignment="1">
      <alignment horizontal="center" vertical="center"/>
    </xf>
    <xf numFmtId="3" fontId="68" fillId="0" borderId="4" xfId="58" applyNumberFormat="1" applyFont="1" applyFill="1" applyBorder="1" applyAlignment="1">
      <alignment horizontal="center" vertical="center"/>
    </xf>
    <xf numFmtId="3" fontId="113" fillId="0" borderId="4" xfId="58" applyNumberFormat="1" applyFont="1" applyFill="1" applyBorder="1" applyAlignment="1">
      <alignment horizontal="center" vertical="center"/>
    </xf>
    <xf numFmtId="3" fontId="113" fillId="0" borderId="58" xfId="58" applyNumberFormat="1" applyFont="1" applyFill="1" applyBorder="1" applyAlignment="1">
      <alignment horizontal="center" vertical="center"/>
    </xf>
    <xf numFmtId="3" fontId="113" fillId="3" borderId="4" xfId="58" applyNumberFormat="1" applyFont="1" applyFill="1" applyBorder="1" applyAlignment="1">
      <alignment horizontal="center" vertical="center"/>
    </xf>
    <xf numFmtId="3" fontId="68" fillId="0" borderId="58" xfId="58" applyNumberFormat="1" applyFont="1" applyFill="1" applyBorder="1" applyAlignment="1">
      <alignment horizontal="center" vertical="center"/>
    </xf>
    <xf numFmtId="0" fontId="68" fillId="0" borderId="6" xfId="58" applyFont="1" applyFill="1" applyBorder="1" applyAlignment="1">
      <alignment horizontal="center" vertical="center" wrapText="1"/>
    </xf>
    <xf numFmtId="3" fontId="113" fillId="0" borderId="4" xfId="2" applyNumberFormat="1" applyFont="1" applyFill="1" applyBorder="1" applyAlignment="1">
      <alignment horizontal="center" vertical="center"/>
    </xf>
    <xf numFmtId="0" fontId="110" fillId="21" borderId="6" xfId="0" applyFont="1" applyFill="1" applyBorder="1" applyAlignment="1">
      <alignment horizontal="center" vertical="center" wrapText="1"/>
    </xf>
    <xf numFmtId="0" fontId="113" fillId="0" borderId="23" xfId="58" applyFont="1" applyFill="1" applyBorder="1" applyAlignment="1">
      <alignment horizontal="center" vertical="center"/>
    </xf>
    <xf numFmtId="3" fontId="68" fillId="0" borderId="4" xfId="2" applyNumberFormat="1" applyFont="1" applyFill="1" applyBorder="1" applyAlignment="1">
      <alignment horizontal="center" vertical="center"/>
    </xf>
    <xf numFmtId="0" fontId="120" fillId="21" borderId="6" xfId="0" applyFont="1" applyFill="1" applyBorder="1" applyAlignment="1">
      <alignment horizontal="center" vertical="center" wrapText="1"/>
    </xf>
    <xf numFmtId="2" fontId="39" fillId="0" borderId="4" xfId="2" applyNumberFormat="1" applyFont="1" applyFill="1" applyBorder="1" applyAlignment="1">
      <alignment horizontal="center" vertical="center"/>
    </xf>
    <xf numFmtId="3" fontId="68" fillId="0" borderId="54" xfId="58" applyNumberFormat="1" applyFont="1" applyFill="1" applyBorder="1" applyAlignment="1">
      <alignment horizontal="center" vertical="center"/>
    </xf>
    <xf numFmtId="1" fontId="36" fillId="3" borderId="4" xfId="49" applyNumberFormat="1" applyFont="1" applyFill="1" applyBorder="1" applyAlignment="1">
      <alignment horizontal="center" vertical="center"/>
    </xf>
    <xf numFmtId="1" fontId="42" fillId="2" borderId="1" xfId="49" applyNumberFormat="1" applyFont="1" applyFill="1" applyBorder="1" applyAlignment="1">
      <alignment horizontal="center" vertical="center"/>
    </xf>
    <xf numFmtId="2" fontId="42" fillId="2" borderId="57" xfId="49" applyNumberFormat="1" applyFont="1" applyFill="1" applyBorder="1" applyAlignment="1">
      <alignment horizontal="center" vertical="center"/>
    </xf>
    <xf numFmtId="2" fontId="42" fillId="0" borderId="4" xfId="49" applyNumberFormat="1" applyFont="1" applyFill="1" applyBorder="1" applyAlignment="1">
      <alignment horizontal="center" vertical="center"/>
    </xf>
    <xf numFmtId="2" fontId="36" fillId="3" borderId="31" xfId="73" applyNumberFormat="1" applyFont="1" applyFill="1" applyBorder="1" applyAlignment="1">
      <alignment horizontal="center" vertical="center"/>
    </xf>
    <xf numFmtId="1" fontId="36" fillId="3" borderId="31" xfId="73" applyNumberFormat="1" applyFont="1" applyFill="1" applyBorder="1" applyAlignment="1">
      <alignment horizontal="center" vertical="center"/>
    </xf>
    <xf numFmtId="0" fontId="42" fillId="3" borderId="24" xfId="73" applyFont="1" applyFill="1" applyBorder="1" applyAlignment="1">
      <alignment horizontal="left" vertical="center" wrapText="1"/>
    </xf>
    <xf numFmtId="2" fontId="36" fillId="3" borderId="24" xfId="73" applyNumberFormat="1" applyFont="1" applyFill="1" applyBorder="1" applyAlignment="1">
      <alignment horizontal="right" vertical="center"/>
    </xf>
    <xf numFmtId="2" fontId="36" fillId="3" borderId="57" xfId="73" applyNumberFormat="1" applyFont="1" applyFill="1" applyBorder="1" applyAlignment="1">
      <alignment horizontal="right" vertical="center"/>
    </xf>
    <xf numFmtId="2" fontId="42" fillId="0" borderId="57" xfId="49" applyNumberFormat="1" applyFont="1" applyFill="1" applyBorder="1" applyAlignment="1">
      <alignment horizontal="right" vertical="center"/>
    </xf>
    <xf numFmtId="2" fontId="42" fillId="0" borderId="4" xfId="49" applyNumberFormat="1" applyFont="1" applyFill="1" applyBorder="1" applyAlignment="1">
      <alignment horizontal="right" vertical="center"/>
    </xf>
    <xf numFmtId="2" fontId="42" fillId="3" borderId="4" xfId="73" applyNumberFormat="1" applyFont="1" applyFill="1" applyBorder="1" applyAlignment="1">
      <alignment vertical="center"/>
    </xf>
    <xf numFmtId="2" fontId="42" fillId="3" borderId="2" xfId="73" applyNumberFormat="1" applyFont="1" applyFill="1" applyBorder="1"/>
    <xf numFmtId="2" fontId="42" fillId="3" borderId="1" xfId="73" applyNumberFormat="1" applyFont="1" applyFill="1" applyBorder="1"/>
    <xf numFmtId="0" fontId="121" fillId="21" borderId="62" xfId="0" applyFont="1" applyFill="1" applyBorder="1" applyAlignment="1">
      <alignment horizontal="center" vertical="center" wrapText="1"/>
    </xf>
    <xf numFmtId="1" fontId="34" fillId="0" borderId="4" xfId="2" applyNumberFormat="1" applyFont="1" applyFill="1" applyBorder="1" applyAlignment="1">
      <alignment horizontal="center" vertical="center"/>
    </xf>
    <xf numFmtId="1" fontId="34" fillId="2" borderId="4" xfId="2" applyNumberFormat="1" applyFont="1" applyFill="1" applyBorder="1" applyAlignment="1">
      <alignment horizontal="center" vertical="center" wrapText="1"/>
    </xf>
    <xf numFmtId="3" fontId="79" fillId="0" borderId="4" xfId="77" applyNumberFormat="1" applyFont="1" applyFill="1" applyBorder="1" applyAlignment="1">
      <alignment horizontal="right" vertical="center"/>
    </xf>
    <xf numFmtId="1" fontId="30" fillId="0" borderId="4" xfId="2" applyNumberFormat="1" applyFont="1" applyFill="1" applyBorder="1" applyAlignment="1">
      <alignment horizontal="center" vertical="center" wrapText="1"/>
    </xf>
    <xf numFmtId="4" fontId="30" fillId="2" borderId="48" xfId="2" applyNumberFormat="1" applyFont="1" applyFill="1" applyBorder="1" applyAlignment="1">
      <alignment horizontal="center" vertical="center" wrapText="1"/>
    </xf>
    <xf numFmtId="0" fontId="34" fillId="2" borderId="58" xfId="2" applyFont="1" applyFill="1" applyBorder="1" applyAlignment="1">
      <alignment vertical="center" wrapText="1"/>
    </xf>
    <xf numFmtId="0" fontId="42" fillId="2" borderId="74" xfId="2" applyFont="1" applyFill="1" applyBorder="1" applyAlignment="1">
      <alignment vertical="center"/>
    </xf>
    <xf numFmtId="0" fontId="42" fillId="2" borderId="0" xfId="2" applyFont="1" applyFill="1" applyBorder="1" applyAlignment="1">
      <alignment vertical="center"/>
    </xf>
    <xf numFmtId="0" fontId="81" fillId="2" borderId="0" xfId="2" applyFont="1" applyFill="1" applyBorder="1" applyAlignment="1">
      <alignment vertical="center"/>
    </xf>
    <xf numFmtId="4" fontId="81" fillId="2" borderId="0" xfId="2" applyNumberFormat="1" applyFont="1" applyFill="1" applyBorder="1" applyAlignment="1">
      <alignment vertical="center"/>
    </xf>
    <xf numFmtId="4" fontId="62" fillId="0" borderId="40" xfId="2" applyNumberFormat="1" applyFont="1" applyBorder="1" applyAlignment="1">
      <alignment vertical="center" wrapText="1"/>
    </xf>
    <xf numFmtId="4" fontId="42" fillId="2" borderId="47" xfId="2" applyNumberFormat="1" applyFont="1" applyFill="1" applyBorder="1" applyAlignment="1">
      <alignment horizontal="center" vertical="center" wrapText="1"/>
    </xf>
    <xf numFmtId="4" fontId="35" fillId="2" borderId="5" xfId="2" applyNumberFormat="1" applyFont="1" applyFill="1" applyBorder="1" applyAlignment="1">
      <alignment horizontal="center" vertical="center" wrapText="1"/>
    </xf>
    <xf numFmtId="4" fontId="35" fillId="0" borderId="5" xfId="2" applyNumberFormat="1" applyFont="1" applyFill="1" applyBorder="1" applyAlignment="1">
      <alignment horizontal="center" vertical="center" wrapText="1"/>
    </xf>
    <xf numFmtId="2" fontId="34" fillId="2" borderId="5" xfId="2" applyNumberFormat="1" applyFont="1" applyFill="1" applyBorder="1" applyAlignment="1">
      <alignment horizontal="center" vertical="center"/>
    </xf>
    <xf numFmtId="0" fontId="82" fillId="2" borderId="7" xfId="89" applyFont="1" applyFill="1" applyBorder="1" applyAlignment="1">
      <alignment vertical="center" wrapText="1"/>
    </xf>
    <xf numFmtId="4" fontId="75" fillId="2" borderId="5" xfId="2" applyNumberFormat="1" applyFont="1" applyFill="1" applyBorder="1" applyAlignment="1">
      <alignment horizontal="center" vertical="center" wrapText="1"/>
    </xf>
    <xf numFmtId="0" fontId="35" fillId="0" borderId="4" xfId="2" applyFont="1" applyFill="1" applyBorder="1" applyAlignment="1">
      <alignment vertical="center" wrapText="1"/>
    </xf>
    <xf numFmtId="0" fontId="35" fillId="22" borderId="4" xfId="2" applyFont="1" applyFill="1" applyBorder="1" applyAlignment="1">
      <alignment vertical="center" wrapText="1"/>
    </xf>
    <xf numFmtId="0" fontId="36" fillId="0" borderId="17" xfId="58" applyFont="1" applyFill="1" applyBorder="1" applyAlignment="1">
      <alignment horizontal="center" vertical="center"/>
    </xf>
    <xf numFmtId="0" fontId="36" fillId="0" borderId="19" xfId="58" applyFont="1" applyFill="1" applyBorder="1" applyAlignment="1">
      <alignment horizontal="center" vertical="center"/>
    </xf>
    <xf numFmtId="0" fontId="36" fillId="0" borderId="18" xfId="58" applyFont="1" applyFill="1" applyBorder="1" applyAlignment="1">
      <alignment horizontal="center" vertical="center" wrapText="1"/>
    </xf>
    <xf numFmtId="0" fontId="32" fillId="0" borderId="60" xfId="58" applyFont="1" applyBorder="1" applyAlignment="1">
      <alignment horizontal="center"/>
    </xf>
    <xf numFmtId="0" fontId="36" fillId="0" borderId="9" xfId="58" applyFont="1" applyFill="1" applyBorder="1" applyAlignment="1">
      <alignment horizontal="center" vertical="center"/>
    </xf>
    <xf numFmtId="0" fontId="36" fillId="0" borderId="7" xfId="58" applyFont="1" applyFill="1" applyBorder="1" applyAlignment="1">
      <alignment horizontal="center" vertical="center"/>
    </xf>
    <xf numFmtId="0" fontId="36" fillId="0" borderId="49" xfId="58" applyFont="1" applyFill="1" applyBorder="1" applyAlignment="1">
      <alignment horizontal="center" vertical="center" wrapText="1"/>
    </xf>
    <xf numFmtId="0" fontId="36" fillId="0" borderId="20" xfId="58" applyFont="1" applyFill="1" applyBorder="1" applyAlignment="1">
      <alignment horizontal="center" vertical="center" wrapText="1"/>
    </xf>
    <xf numFmtId="0" fontId="36" fillId="0" borderId="38" xfId="58" applyFont="1" applyFill="1" applyBorder="1" applyAlignment="1">
      <alignment horizontal="center" vertical="center" wrapText="1"/>
    </xf>
    <xf numFmtId="0" fontId="36" fillId="0" borderId="40" xfId="58" applyFont="1" applyFill="1" applyBorder="1" applyAlignment="1">
      <alignment horizontal="center" vertical="center" wrapText="1"/>
    </xf>
    <xf numFmtId="0" fontId="37" fillId="0" borderId="0" xfId="58" applyFont="1" applyAlignment="1">
      <alignment horizontal="center" vertical="center"/>
    </xf>
    <xf numFmtId="0" fontId="37" fillId="0" borderId="0" xfId="58" applyFont="1" applyFill="1" applyBorder="1" applyAlignment="1">
      <alignment horizontal="center" vertical="center" wrapText="1"/>
    </xf>
    <xf numFmtId="0" fontId="30" fillId="0" borderId="0" xfId="58" applyFont="1" applyFill="1" applyAlignment="1">
      <alignment horizontal="center"/>
    </xf>
    <xf numFmtId="0" fontId="30" fillId="0" borderId="0" xfId="58" applyFont="1" applyAlignment="1">
      <alignment horizontal="center"/>
    </xf>
    <xf numFmtId="0" fontId="34" fillId="2" borderId="0" xfId="58" applyFont="1" applyFill="1" applyAlignment="1">
      <alignment horizontal="center"/>
    </xf>
    <xf numFmtId="0" fontId="36" fillId="0" borderId="0" xfId="58" applyFont="1" applyAlignment="1">
      <alignment horizontal="center" vertical="center"/>
    </xf>
    <xf numFmtId="0" fontId="32" fillId="0" borderId="0" xfId="58" applyFont="1" applyBorder="1"/>
    <xf numFmtId="0" fontId="89" fillId="0" borderId="38" xfId="2" applyFont="1" applyBorder="1" applyAlignment="1">
      <alignment horizontal="center" vertical="distributed" wrapText="1"/>
    </xf>
    <xf numFmtId="0" fontId="89" fillId="0" borderId="39" xfId="2" applyFont="1" applyBorder="1" applyAlignment="1">
      <alignment horizontal="center" vertical="distributed" wrapText="1"/>
    </xf>
    <xf numFmtId="0" fontId="89" fillId="0" borderId="40" xfId="2" applyFont="1" applyBorder="1" applyAlignment="1">
      <alignment horizontal="center" vertical="distributed" wrapText="1"/>
    </xf>
    <xf numFmtId="0" fontId="89" fillId="0" borderId="27" xfId="2" applyFont="1" applyBorder="1" applyAlignment="1">
      <alignment horizontal="center" vertical="distributed" wrapText="1"/>
    </xf>
    <xf numFmtId="0" fontId="89" fillId="0" borderId="65" xfId="2" applyFont="1" applyBorder="1" applyAlignment="1">
      <alignment horizontal="center" vertical="distributed" wrapText="1"/>
    </xf>
    <xf numFmtId="0" fontId="89" fillId="0" borderId="30" xfId="2" applyFont="1" applyBorder="1" applyAlignment="1">
      <alignment horizontal="center" vertical="distributed" wrapText="1"/>
    </xf>
    <xf numFmtId="0" fontId="89" fillId="0" borderId="0" xfId="2" applyFont="1" applyAlignment="1">
      <alignment horizontal="center" vertical="center"/>
    </xf>
    <xf numFmtId="0" fontId="89" fillId="0" borderId="0" xfId="2" applyFont="1" applyAlignment="1">
      <alignment horizontal="center"/>
    </xf>
    <xf numFmtId="0" fontId="89" fillId="0" borderId="27" xfId="2" applyFont="1" applyBorder="1" applyAlignment="1">
      <alignment horizontal="center" vertical="center" wrapText="1"/>
    </xf>
    <xf numFmtId="0" fontId="89" fillId="0" borderId="32" xfId="2" applyFont="1" applyBorder="1" applyAlignment="1">
      <alignment horizontal="center" vertical="center" wrapText="1"/>
    </xf>
    <xf numFmtId="0" fontId="89" fillId="0" borderId="28" xfId="2" applyFont="1" applyBorder="1" applyAlignment="1">
      <alignment horizontal="center" vertical="center" wrapText="1"/>
    </xf>
    <xf numFmtId="0" fontId="89" fillId="0" borderId="33" xfId="2" applyFont="1" applyBorder="1" applyAlignment="1">
      <alignment horizontal="center" vertical="center" wrapText="1"/>
    </xf>
    <xf numFmtId="0" fontId="89" fillId="0" borderId="29" xfId="2" applyFont="1" applyBorder="1" applyAlignment="1">
      <alignment horizontal="center" vertical="center" wrapText="1"/>
    </xf>
    <xf numFmtId="0" fontId="89" fillId="0" borderId="34" xfId="2" applyFont="1" applyBorder="1" applyAlignment="1">
      <alignment horizontal="center" vertical="center" wrapText="1"/>
    </xf>
    <xf numFmtId="0" fontId="89" fillId="0" borderId="30" xfId="2" applyFont="1" applyBorder="1" applyAlignment="1">
      <alignment horizontal="center" vertical="center" wrapText="1"/>
    </xf>
    <xf numFmtId="0" fontId="89" fillId="0" borderId="35" xfId="2" applyFont="1" applyBorder="1" applyAlignment="1">
      <alignment horizontal="center" vertical="center" wrapText="1"/>
    </xf>
    <xf numFmtId="0" fontId="89" fillId="0" borderId="21" xfId="2" applyFont="1" applyBorder="1" applyAlignment="1">
      <alignment horizontal="center" vertical="center" wrapText="1"/>
    </xf>
    <xf numFmtId="0" fontId="89" fillId="0" borderId="31" xfId="2" applyFont="1" applyBorder="1" applyAlignment="1">
      <alignment horizontal="center" vertical="center" wrapText="1"/>
    </xf>
    <xf numFmtId="0" fontId="61" fillId="0" borderId="0" xfId="73" applyNumberFormat="1" applyFont="1" applyFill="1" applyBorder="1" applyAlignment="1" applyProtection="1">
      <alignment horizontal="center" vertical="top" wrapText="1"/>
    </xf>
    <xf numFmtId="0" fontId="62" fillId="3" borderId="17" xfId="73" applyNumberFormat="1" applyFont="1" applyFill="1" applyBorder="1" applyAlignment="1" applyProtection="1">
      <alignment horizontal="center" vertical="center" wrapText="1"/>
    </xf>
    <xf numFmtId="0" fontId="62" fillId="3" borderId="19" xfId="73" applyNumberFormat="1" applyFont="1" applyFill="1" applyBorder="1" applyAlignment="1" applyProtection="1">
      <alignment horizontal="center" vertical="center" wrapText="1"/>
    </xf>
    <xf numFmtId="0" fontId="62" fillId="3" borderId="18" xfId="73" applyNumberFormat="1" applyFont="1" applyFill="1" applyBorder="1" applyAlignment="1" applyProtection="1">
      <alignment horizontal="center" vertical="center" wrapText="1"/>
    </xf>
    <xf numFmtId="0" fontId="64" fillId="0" borderId="20" xfId="73" applyFont="1" applyBorder="1" applyAlignment="1">
      <alignment horizontal="center" vertical="center" wrapText="1"/>
    </xf>
    <xf numFmtId="0" fontId="62" fillId="3" borderId="49" xfId="73" applyNumberFormat="1" applyFont="1" applyFill="1" applyBorder="1" applyAlignment="1" applyProtection="1">
      <alignment horizontal="center" vertical="center" wrapText="1"/>
    </xf>
    <xf numFmtId="0" fontId="64" fillId="0" borderId="51" xfId="73" applyFont="1" applyBorder="1" applyAlignment="1">
      <alignment horizontal="center" vertical="center" wrapText="1"/>
    </xf>
    <xf numFmtId="0" fontId="63" fillId="3" borderId="17" xfId="73" applyNumberFormat="1" applyFont="1" applyFill="1" applyBorder="1" applyAlignment="1" applyProtection="1">
      <alignment horizontal="center" vertical="center" wrapText="1"/>
    </xf>
    <xf numFmtId="0" fontId="63" fillId="3" borderId="19" xfId="73" applyNumberFormat="1" applyFont="1" applyFill="1" applyBorder="1" applyAlignment="1" applyProtection="1">
      <alignment horizontal="center" vertical="center" wrapText="1"/>
    </xf>
    <xf numFmtId="0" fontId="63" fillId="3" borderId="9" xfId="73" applyNumberFormat="1" applyFont="1" applyFill="1" applyBorder="1" applyAlignment="1" applyProtection="1">
      <alignment horizontal="center" vertical="center" wrapText="1"/>
    </xf>
    <xf numFmtId="0" fontId="63" fillId="2" borderId="9" xfId="73" applyNumberFormat="1" applyFont="1" applyFill="1" applyBorder="1" applyAlignment="1" applyProtection="1">
      <alignment horizontal="center" vertical="center" wrapText="1"/>
    </xf>
    <xf numFmtId="0" fontId="63" fillId="2" borderId="50" xfId="73" applyNumberFormat="1" applyFont="1" applyFill="1" applyBorder="1" applyAlignment="1" applyProtection="1">
      <alignment horizontal="center" vertical="center" wrapText="1"/>
    </xf>
    <xf numFmtId="0" fontId="63" fillId="2" borderId="54" xfId="73" applyNumberFormat="1" applyFont="1" applyFill="1" applyBorder="1" applyAlignment="1" applyProtection="1">
      <alignment horizontal="center" vertical="center" wrapText="1"/>
    </xf>
    <xf numFmtId="0" fontId="63" fillId="3" borderId="5" xfId="73" applyNumberFormat="1" applyFont="1" applyFill="1" applyBorder="1" applyAlignment="1" applyProtection="1">
      <alignment horizontal="center" vertical="center" wrapText="1"/>
    </xf>
    <xf numFmtId="0" fontId="63" fillId="3" borderId="7" xfId="73" applyNumberFormat="1" applyFont="1" applyFill="1" applyBorder="1" applyAlignment="1" applyProtection="1">
      <alignment horizontal="center" vertical="center" wrapText="1"/>
    </xf>
    <xf numFmtId="0" fontId="65" fillId="2" borderId="5" xfId="73" applyNumberFormat="1" applyFont="1" applyFill="1" applyBorder="1" applyAlignment="1" applyProtection="1">
      <alignment horizontal="center" vertical="center" wrapText="1"/>
    </xf>
    <xf numFmtId="0" fontId="65" fillId="2" borderId="7" xfId="73" applyNumberFormat="1" applyFont="1" applyFill="1" applyBorder="1" applyAlignment="1" applyProtection="1">
      <alignment horizontal="center" vertical="center" wrapText="1"/>
    </xf>
    <xf numFmtId="0" fontId="65" fillId="3" borderId="5" xfId="73" applyNumberFormat="1" applyFont="1" applyFill="1" applyBorder="1" applyAlignment="1" applyProtection="1">
      <alignment horizontal="center" vertical="center" wrapText="1"/>
    </xf>
    <xf numFmtId="0" fontId="65" fillId="3" borderId="7" xfId="73" applyNumberFormat="1" applyFont="1" applyFill="1" applyBorder="1" applyAlignment="1" applyProtection="1">
      <alignment horizontal="center" vertical="center" wrapText="1"/>
    </xf>
    <xf numFmtId="0" fontId="63" fillId="2" borderId="5" xfId="73" applyNumberFormat="1" applyFont="1" applyFill="1" applyBorder="1" applyAlignment="1" applyProtection="1">
      <alignment horizontal="center" vertical="center" wrapText="1"/>
    </xf>
    <xf numFmtId="0" fontId="63" fillId="2" borderId="7" xfId="73" applyNumberFormat="1" applyFont="1" applyFill="1" applyBorder="1" applyAlignment="1" applyProtection="1">
      <alignment horizontal="center" vertical="center" wrapText="1"/>
    </xf>
    <xf numFmtId="0" fontId="66" fillId="2" borderId="20" xfId="73" applyFont="1" applyFill="1" applyBorder="1" applyAlignment="1">
      <alignment horizontal="center" vertical="center" wrapText="1"/>
    </xf>
    <xf numFmtId="0" fontId="65" fillId="2" borderId="52" xfId="73" applyNumberFormat="1" applyFont="1" applyFill="1" applyBorder="1" applyAlignment="1" applyProtection="1">
      <alignment horizontal="center" vertical="center" wrapText="1"/>
    </xf>
    <xf numFmtId="0" fontId="66" fillId="2" borderId="53" xfId="73" applyFont="1" applyFill="1" applyBorder="1" applyAlignment="1">
      <alignment horizontal="center" vertical="center" wrapText="1"/>
    </xf>
    <xf numFmtId="0" fontId="65" fillId="3" borderId="52" xfId="73" applyNumberFormat="1" applyFont="1" applyFill="1" applyBorder="1" applyAlignment="1" applyProtection="1">
      <alignment horizontal="center" vertical="center" wrapText="1"/>
    </xf>
    <xf numFmtId="0" fontId="66" fillId="0" borderId="53" xfId="73" applyFont="1" applyBorder="1" applyAlignment="1">
      <alignment horizontal="center" vertical="center" wrapText="1"/>
    </xf>
    <xf numFmtId="0" fontId="42" fillId="0" borderId="0" xfId="73" applyNumberFormat="1" applyFont="1" applyFill="1" applyBorder="1" applyAlignment="1" applyProtection="1">
      <alignment horizontal="center" vertical="top" wrapText="1"/>
    </xf>
    <xf numFmtId="0" fontId="62" fillId="3" borderId="9" xfId="73" applyNumberFormat="1" applyFont="1" applyFill="1" applyBorder="1" applyAlignment="1" applyProtection="1">
      <alignment horizontal="center" vertical="center" wrapText="1"/>
    </xf>
    <xf numFmtId="0" fontId="64" fillId="0" borderId="5" xfId="73" applyFont="1" applyBorder="1" applyAlignment="1">
      <alignment horizontal="center" vertical="center" wrapText="1"/>
    </xf>
    <xf numFmtId="0" fontId="64" fillId="0" borderId="7" xfId="73" applyFont="1" applyBorder="1" applyAlignment="1">
      <alignment horizontal="center" vertical="center" wrapText="1"/>
    </xf>
    <xf numFmtId="0" fontId="63" fillId="3" borderId="50" xfId="73" applyNumberFormat="1" applyFont="1" applyFill="1" applyBorder="1" applyAlignment="1" applyProtection="1">
      <alignment horizontal="center" vertical="center" wrapText="1"/>
    </xf>
    <xf numFmtId="0" fontId="63" fillId="3" borderId="54" xfId="73" applyNumberFormat="1" applyFont="1" applyFill="1" applyBorder="1" applyAlignment="1" applyProtection="1">
      <alignment horizontal="center" vertical="center" wrapText="1"/>
    </xf>
    <xf numFmtId="0" fontId="66" fillId="0" borderId="20" xfId="73" applyFont="1" applyBorder="1" applyAlignment="1">
      <alignment horizontal="center" vertical="center" wrapText="1"/>
    </xf>
    <xf numFmtId="0" fontId="30" fillId="0" borderId="38" xfId="2" applyFont="1" applyBorder="1" applyAlignment="1">
      <alignment horizontal="center" vertical="center" wrapText="1"/>
    </xf>
    <xf numFmtId="0" fontId="30" fillId="0" borderId="40" xfId="2" applyFont="1" applyBorder="1" applyAlignment="1">
      <alignment horizontal="center" vertical="center" wrapText="1"/>
    </xf>
    <xf numFmtId="0" fontId="30" fillId="0" borderId="29" xfId="2" applyFont="1" applyBorder="1" applyAlignment="1">
      <alignment horizontal="center" vertical="center" textRotation="90" wrapText="1"/>
    </xf>
    <xf numFmtId="0" fontId="30" fillId="0" borderId="34" xfId="2" applyFont="1" applyBorder="1" applyAlignment="1">
      <alignment horizontal="center" vertical="center" textRotation="90" wrapText="1"/>
    </xf>
    <xf numFmtId="0" fontId="73" fillId="2" borderId="0" xfId="2" applyFont="1" applyFill="1" applyAlignment="1">
      <alignment horizontal="center" vertical="center"/>
    </xf>
    <xf numFmtId="0" fontId="73" fillId="0" borderId="0" xfId="2" applyFont="1" applyAlignment="1">
      <alignment horizontal="center" vertical="center"/>
    </xf>
    <xf numFmtId="0" fontId="30" fillId="0" borderId="29" xfId="2" applyFont="1" applyBorder="1" applyAlignment="1">
      <alignment horizontal="center" vertical="center" wrapText="1" readingOrder="1"/>
    </xf>
    <xf numFmtId="0" fontId="30" fillId="0" borderId="46" xfId="2" applyFont="1" applyBorder="1" applyAlignment="1">
      <alignment horizontal="center" vertical="center" wrapText="1" readingOrder="1"/>
    </xf>
    <xf numFmtId="0" fontId="30" fillId="0" borderId="34" xfId="2" applyFont="1" applyBorder="1" applyAlignment="1">
      <alignment horizontal="center" vertical="center" wrapText="1" readingOrder="1"/>
    </xf>
    <xf numFmtId="0" fontId="30" fillId="0" borderId="29" xfId="2" applyFont="1" applyBorder="1" applyAlignment="1">
      <alignment horizontal="center" vertical="center" wrapText="1"/>
    </xf>
    <xf numFmtId="0" fontId="30" fillId="0" borderId="46" xfId="2" applyFont="1" applyBorder="1" applyAlignment="1">
      <alignment horizontal="center" vertical="center" wrapText="1"/>
    </xf>
    <xf numFmtId="0" fontId="30" fillId="0" borderId="34" xfId="2" applyFont="1" applyBorder="1" applyAlignment="1">
      <alignment horizontal="center" vertical="center" wrapText="1"/>
    </xf>
    <xf numFmtId="0" fontId="30" fillId="0" borderId="39" xfId="2" applyFont="1" applyBorder="1" applyAlignment="1">
      <alignment horizontal="center" vertical="center" wrapText="1"/>
    </xf>
    <xf numFmtId="0" fontId="7" fillId="0" borderId="52" xfId="77" applyFont="1" applyBorder="1" applyAlignment="1">
      <alignment horizontal="center" vertical="center" wrapText="1"/>
    </xf>
    <xf numFmtId="0" fontId="7" fillId="0" borderId="53" xfId="77" applyFont="1" applyBorder="1" applyAlignment="1">
      <alignment horizontal="center" vertical="center" wrapText="1"/>
    </xf>
    <xf numFmtId="0" fontId="75" fillId="0" borderId="43" xfId="77" applyFont="1" applyBorder="1" applyAlignment="1">
      <alignment horizontal="center"/>
    </xf>
    <xf numFmtId="0" fontId="75" fillId="0" borderId="44" xfId="77" applyFont="1" applyBorder="1" applyAlignment="1">
      <alignment horizontal="center"/>
    </xf>
    <xf numFmtId="0" fontId="75" fillId="0" borderId="45" xfId="77" applyFont="1" applyBorder="1" applyAlignment="1">
      <alignment horizontal="center"/>
    </xf>
    <xf numFmtId="0" fontId="75" fillId="0" borderId="6" xfId="77" applyFont="1" applyBorder="1" applyAlignment="1">
      <alignment horizontal="center"/>
    </xf>
    <xf numFmtId="0" fontId="75" fillId="0" borderId="5" xfId="77" applyFont="1" applyBorder="1" applyAlignment="1">
      <alignment horizontal="center"/>
    </xf>
    <xf numFmtId="0" fontId="75" fillId="0" borderId="4" xfId="77" applyFont="1" applyBorder="1" applyAlignment="1">
      <alignment horizontal="center"/>
    </xf>
    <xf numFmtId="0" fontId="75" fillId="0" borderId="43" xfId="77" applyFont="1" applyBorder="1" applyAlignment="1">
      <alignment horizontal="center" vertical="center"/>
    </xf>
    <xf numFmtId="0" fontId="79" fillId="0" borderId="52" xfId="77" applyFont="1" applyFill="1" applyBorder="1" applyAlignment="1">
      <alignment horizontal="center" vertical="center" wrapText="1"/>
    </xf>
    <xf numFmtId="0" fontId="79" fillId="0" borderId="53" xfId="77" applyFont="1" applyFill="1" applyBorder="1" applyAlignment="1">
      <alignment horizontal="center" vertical="center" wrapText="1"/>
    </xf>
    <xf numFmtId="0" fontId="7" fillId="0" borderId="52" xfId="77" applyFont="1" applyBorder="1" applyAlignment="1">
      <alignment horizontal="left" vertical="center" wrapText="1"/>
    </xf>
    <xf numFmtId="0" fontId="7" fillId="0" borderId="53" xfId="77" applyFont="1" applyBorder="1" applyAlignment="1">
      <alignment horizontal="left" vertical="center" wrapText="1"/>
    </xf>
    <xf numFmtId="0" fontId="36" fillId="0" borderId="5" xfId="2" applyFont="1" applyFill="1" applyBorder="1" applyAlignment="1">
      <alignment horizontal="center" vertical="center" wrapText="1"/>
    </xf>
    <xf numFmtId="0" fontId="79" fillId="0" borderId="52" xfId="77" applyFont="1" applyBorder="1" applyAlignment="1">
      <alignment horizontal="center" vertical="center" wrapText="1"/>
    </xf>
    <xf numFmtId="0" fontId="79" fillId="0" borderId="53" xfId="77" applyFont="1" applyBorder="1" applyAlignment="1">
      <alignment horizontal="center" vertical="center" wrapText="1"/>
    </xf>
    <xf numFmtId="0" fontId="75" fillId="0" borderId="52" xfId="77" applyFont="1" applyBorder="1" applyAlignment="1">
      <alignment horizontal="left" vertical="center" wrapText="1"/>
    </xf>
    <xf numFmtId="0" fontId="75" fillId="0" borderId="53" xfId="77" applyFont="1" applyBorder="1" applyAlignment="1">
      <alignment horizontal="left" vertical="center" wrapText="1"/>
    </xf>
    <xf numFmtId="0" fontId="79" fillId="0" borderId="52" xfId="77" applyFont="1" applyBorder="1" applyAlignment="1">
      <alignment horizontal="left" vertical="center" wrapText="1"/>
    </xf>
    <xf numFmtId="0" fontId="79" fillId="0" borderId="53" xfId="77" applyFont="1" applyBorder="1" applyAlignment="1">
      <alignment horizontal="left" vertical="center" wrapText="1"/>
    </xf>
    <xf numFmtId="0" fontId="7" fillId="0" borderId="52" xfId="77" applyFont="1" applyFill="1" applyBorder="1" applyAlignment="1">
      <alignment horizontal="left" vertical="center" wrapText="1"/>
    </xf>
    <xf numFmtId="0" fontId="7" fillId="0" borderId="53" xfId="77" applyFont="1" applyFill="1" applyBorder="1" applyAlignment="1">
      <alignment horizontal="left" vertical="center" wrapText="1"/>
    </xf>
    <xf numFmtId="0" fontId="121" fillId="21" borderId="76" xfId="0" applyFont="1" applyFill="1" applyBorder="1" applyAlignment="1">
      <alignment horizontal="center" vertical="center" wrapText="1"/>
    </xf>
    <xf numFmtId="0" fontId="121" fillId="21" borderId="75" xfId="0" applyFont="1" applyFill="1" applyBorder="1" applyAlignment="1">
      <alignment horizontal="center" vertical="center" wrapText="1"/>
    </xf>
    <xf numFmtId="0" fontId="30" fillId="0" borderId="0" xfId="58" applyFont="1" applyFill="1" applyAlignment="1">
      <alignment horizontal="left"/>
    </xf>
    <xf numFmtId="0" fontId="30" fillId="2" borderId="0" xfId="58" applyFont="1" applyFill="1" applyAlignment="1">
      <alignment horizontal="left"/>
    </xf>
    <xf numFmtId="0" fontId="75" fillId="0" borderId="0" xfId="77" applyFont="1" applyAlignment="1">
      <alignment horizontal="center"/>
    </xf>
    <xf numFmtId="0" fontId="7" fillId="0" borderId="0" xfId="77" applyFont="1" applyAlignment="1">
      <alignment horizontal="center"/>
    </xf>
    <xf numFmtId="0" fontId="76" fillId="0" borderId="0" xfId="77" quotePrefix="1" applyFont="1" applyAlignment="1">
      <alignment horizontal="center"/>
    </xf>
    <xf numFmtId="0" fontId="11" fillId="0" borderId="0" xfId="77" applyFont="1" applyAlignment="1">
      <alignment horizontal="center"/>
    </xf>
    <xf numFmtId="0" fontId="7" fillId="0" borderId="67" xfId="77" applyFont="1" applyBorder="1" applyAlignment="1">
      <alignment horizontal="center" vertical="top" wrapText="1"/>
    </xf>
    <xf numFmtId="0" fontId="7" fillId="0" borderId="72" xfId="77" applyFont="1" applyBorder="1" applyAlignment="1">
      <alignment horizontal="center" vertical="top" wrapText="1"/>
    </xf>
    <xf numFmtId="0" fontId="7" fillId="0" borderId="48" xfId="77" applyFont="1" applyBorder="1" applyAlignment="1">
      <alignment horizontal="center" vertical="top" wrapText="1"/>
    </xf>
    <xf numFmtId="0" fontId="7" fillId="0" borderId="59" xfId="77" applyFont="1" applyBorder="1" applyAlignment="1">
      <alignment horizontal="center" vertical="top" wrapText="1"/>
    </xf>
    <xf numFmtId="0" fontId="75" fillId="0" borderId="25" xfId="77" applyFont="1" applyBorder="1" applyAlignment="1">
      <alignment horizontal="center"/>
    </xf>
    <xf numFmtId="0" fontId="75" fillId="0" borderId="7" xfId="77" applyFont="1" applyBorder="1" applyAlignment="1">
      <alignment horizontal="center"/>
    </xf>
    <xf numFmtId="0" fontId="75" fillId="0" borderId="58" xfId="77" applyFont="1" applyBorder="1" applyAlignment="1">
      <alignment horizontal="center"/>
    </xf>
    <xf numFmtId="0" fontId="7" fillId="0" borderId="44" xfId="77" applyFont="1" applyBorder="1" applyAlignment="1">
      <alignment horizontal="center" vertical="center" wrapText="1"/>
    </xf>
    <xf numFmtId="0" fontId="75" fillId="0" borderId="5" xfId="77" applyFont="1" applyBorder="1" applyAlignment="1">
      <alignment horizontal="center" wrapText="1"/>
    </xf>
    <xf numFmtId="0" fontId="75" fillId="0" borderId="52" xfId="77" applyFont="1" applyBorder="1" applyAlignment="1">
      <alignment horizontal="center" vertical="center" wrapText="1"/>
    </xf>
    <xf numFmtId="0" fontId="75" fillId="0" borderId="53" xfId="77" applyFont="1" applyBorder="1" applyAlignment="1">
      <alignment horizontal="center" vertical="center" wrapText="1"/>
    </xf>
    <xf numFmtId="0" fontId="101" fillId="0" borderId="0" xfId="74" applyFont="1" applyAlignment="1">
      <alignment horizontal="center"/>
    </xf>
    <xf numFmtId="0" fontId="99" fillId="0" borderId="0" xfId="74" applyFont="1" applyAlignment="1">
      <alignment horizontal="center"/>
    </xf>
    <xf numFmtId="0" fontId="105" fillId="0" borderId="0" xfId="74" applyFont="1" applyAlignment="1">
      <alignment horizontal="center"/>
    </xf>
    <xf numFmtId="0" fontId="6" fillId="0" borderId="9" xfId="89" applyFont="1" applyFill="1" applyBorder="1" applyAlignment="1">
      <alignment horizontal="center" vertical="center" wrapText="1"/>
    </xf>
    <xf numFmtId="0" fontId="6" fillId="0" borderId="8" xfId="89" applyFont="1" applyFill="1" applyBorder="1" applyAlignment="1">
      <alignment horizontal="center" vertical="center" wrapText="1"/>
    </xf>
    <xf numFmtId="0" fontId="75" fillId="0" borderId="0" xfId="89" applyFont="1" applyAlignment="1">
      <alignment horizontal="center" wrapText="1"/>
    </xf>
    <xf numFmtId="0" fontId="7" fillId="0" borderId="0" xfId="89" applyFont="1" applyAlignment="1">
      <alignment horizontal="center"/>
    </xf>
    <xf numFmtId="0" fontId="11" fillId="0" borderId="10" xfId="89" applyFont="1" applyBorder="1" applyAlignment="1">
      <alignment horizontal="center" vertical="center" wrapText="1"/>
    </xf>
    <xf numFmtId="0" fontId="6" fillId="0" borderId="6" xfId="89" applyFont="1" applyBorder="1" applyAlignment="1">
      <alignment horizontal="center" vertical="center" wrapText="1"/>
    </xf>
    <xf numFmtId="0" fontId="11" fillId="0" borderId="9" xfId="89" applyFont="1" applyBorder="1" applyAlignment="1">
      <alignment horizontal="center" vertical="center" wrapText="1"/>
    </xf>
    <xf numFmtId="0" fontId="6" fillId="0" borderId="5" xfId="89" applyFont="1" applyBorder="1" applyAlignment="1">
      <alignment horizontal="center" vertical="center" wrapText="1"/>
    </xf>
    <xf numFmtId="0" fontId="6" fillId="0" borderId="9" xfId="89" applyFont="1" applyBorder="1" applyAlignment="1">
      <alignment horizontal="center" vertical="center" wrapText="1"/>
    </xf>
    <xf numFmtId="0" fontId="6" fillId="0" borderId="5" xfId="89" applyFont="1" applyFill="1" applyBorder="1" applyAlignment="1">
      <alignment horizontal="center" vertical="center" wrapText="1"/>
    </xf>
    <xf numFmtId="0" fontId="42" fillId="3" borderId="21" xfId="2" applyFont="1" applyFill="1" applyBorder="1" applyAlignment="1">
      <alignment horizontal="center" vertical="center" wrapText="1"/>
    </xf>
    <xf numFmtId="0" fontId="42" fillId="3" borderId="22" xfId="2" applyFont="1" applyFill="1" applyBorder="1" applyAlignment="1">
      <alignment horizontal="center" vertical="center" wrapText="1"/>
    </xf>
    <xf numFmtId="0" fontId="34" fillId="0" borderId="0" xfId="2" applyFont="1" applyAlignment="1">
      <alignment horizontal="left" vertical="center" wrapText="1"/>
    </xf>
    <xf numFmtId="0" fontId="42" fillId="0" borderId="0" xfId="2" applyFont="1" applyBorder="1" applyAlignment="1">
      <alignment horizontal="center" vertical="top" wrapText="1"/>
    </xf>
    <xf numFmtId="4" fontId="42" fillId="0" borderId="0" xfId="2" applyNumberFormat="1" applyFont="1" applyBorder="1" applyAlignment="1">
      <alignment horizontal="left" vertical="center" wrapText="1"/>
    </xf>
    <xf numFmtId="0" fontId="81" fillId="0" borderId="0" xfId="2" applyFont="1" applyAlignment="1">
      <alignment vertical="center" wrapText="1"/>
    </xf>
    <xf numFmtId="4" fontId="42" fillId="0" borderId="41" xfId="2" applyNumberFormat="1" applyFont="1" applyBorder="1" applyAlignment="1">
      <alignment horizontal="left" vertical="center" wrapText="1"/>
    </xf>
    <xf numFmtId="0" fontId="34" fillId="2" borderId="38" xfId="2" applyFont="1" applyFill="1" applyBorder="1" applyAlignment="1">
      <alignment horizontal="center" vertical="center" wrapText="1"/>
    </xf>
    <xf numFmtId="0" fontId="34" fillId="2" borderId="61" xfId="2" applyFont="1" applyFill="1" applyBorder="1" applyAlignment="1">
      <alignment horizontal="center" vertical="center" wrapText="1"/>
    </xf>
    <xf numFmtId="0" fontId="42" fillId="2" borderId="38" xfId="2" applyFont="1" applyFill="1" applyBorder="1" applyAlignment="1">
      <alignment horizontal="center" vertical="center" wrapText="1"/>
    </xf>
    <xf numFmtId="0" fontId="42" fillId="2" borderId="61" xfId="2" applyFont="1" applyFill="1" applyBorder="1" applyAlignment="1">
      <alignment horizontal="center" vertical="center" wrapText="1"/>
    </xf>
    <xf numFmtId="0" fontId="8" fillId="0" borderId="0" xfId="80" applyFont="1" applyAlignment="1">
      <alignment horizontal="center"/>
    </xf>
    <xf numFmtId="0" fontId="8" fillId="0" borderId="0" xfId="80" applyFont="1" applyAlignment="1">
      <alignment horizontal="center" wrapText="1"/>
    </xf>
  </cellXfs>
  <cellStyles count="91">
    <cellStyle name="20% – Акцентування1" xfId="3"/>
    <cellStyle name="20% – Акцентування2" xfId="4"/>
    <cellStyle name="20% – Акцентування3" xfId="5"/>
    <cellStyle name="20% – Акцентування4" xfId="6"/>
    <cellStyle name="20% – Акцентування5" xfId="7"/>
    <cellStyle name="20% – Акцентування6" xfId="8"/>
    <cellStyle name="40% – Акцентування1" xfId="9"/>
    <cellStyle name="40% – Акцентування2" xfId="10"/>
    <cellStyle name="40% – Акцентування3" xfId="11"/>
    <cellStyle name="40% – Акцентування4" xfId="12"/>
    <cellStyle name="40% – Акцентування5" xfId="13"/>
    <cellStyle name="40% – Акцентування6" xfId="14"/>
    <cellStyle name="60% – Акцентування1" xfId="15"/>
    <cellStyle name="60% – Акцентування2" xfId="16"/>
    <cellStyle name="60% – Акцентування3" xfId="17"/>
    <cellStyle name="60% – Акцентування4" xfId="18"/>
    <cellStyle name="60% – Акцентування5" xfId="19"/>
    <cellStyle name="60% – Акцентування6" xfId="20"/>
    <cellStyle name="Normal_meresha_07" xfId="21"/>
    <cellStyle name="Акцентування1" xfId="22"/>
    <cellStyle name="Акцентування2" xfId="23"/>
    <cellStyle name="Акцентування3" xfId="24"/>
    <cellStyle name="Акцентування4" xfId="25"/>
    <cellStyle name="Акцентування5" xfId="26"/>
    <cellStyle name="Акцентування6" xfId="27"/>
    <cellStyle name="Ввід" xfId="28"/>
    <cellStyle name="Денежный 2" xfId="78"/>
    <cellStyle name="Добре" xfId="29"/>
    <cellStyle name="Звичайний 10" xfId="30"/>
    <cellStyle name="Звичайний 11" xfId="31"/>
    <cellStyle name="Звичайний 12" xfId="32"/>
    <cellStyle name="Звичайний 13" xfId="33"/>
    <cellStyle name="Звичайний 14" xfId="34"/>
    <cellStyle name="Звичайний 15" xfId="35"/>
    <cellStyle name="Звичайний 16" xfId="36"/>
    <cellStyle name="Звичайний 17" xfId="37"/>
    <cellStyle name="Звичайний 18" xfId="38"/>
    <cellStyle name="Звичайний 19" xfId="39"/>
    <cellStyle name="Звичайний 2" xfId="40"/>
    <cellStyle name="Звичайний 20" xfId="41"/>
    <cellStyle name="Звичайний 3" xfId="42"/>
    <cellStyle name="Звичайний 4" xfId="43"/>
    <cellStyle name="Звичайний 5" xfId="44"/>
    <cellStyle name="Звичайний 6" xfId="45"/>
    <cellStyle name="Звичайний 7" xfId="46"/>
    <cellStyle name="Звичайний 8" xfId="47"/>
    <cellStyle name="Звичайний 9" xfId="48"/>
    <cellStyle name="Звичайний_Додаток _ 3 зм_ни 4575" xfId="49"/>
    <cellStyle name="Зв'язана клітинка" xfId="50"/>
    <cellStyle name="Контрольна клітинка" xfId="51"/>
    <cellStyle name="Назва" xfId="52"/>
    <cellStyle name="Обчислення" xfId="53"/>
    <cellStyle name="Обычный" xfId="0" builtinId="0"/>
    <cellStyle name="Обычный 10" xfId="54"/>
    <cellStyle name="Обычный 10 2" xfId="77"/>
    <cellStyle name="Обычный 10 2 2" xfId="87"/>
    <cellStyle name="Обычный 11" xfId="55"/>
    <cellStyle name="Обычный 12" xfId="56"/>
    <cellStyle name="Обычный 13" xfId="74"/>
    <cellStyle name="Обычный 13 2" xfId="79"/>
    <cellStyle name="Обычный 13 3" xfId="88"/>
    <cellStyle name="Обычный 14" xfId="75"/>
    <cellStyle name="Обычный 14 2" xfId="80"/>
    <cellStyle name="Обычный 15" xfId="81"/>
    <cellStyle name="Обычный 2" xfId="1"/>
    <cellStyle name="Обычный 2 2" xfId="2"/>
    <cellStyle name="Обычный 2 2 2" xfId="73"/>
    <cellStyle name="Обычный 2 3" xfId="76"/>
    <cellStyle name="Обычный 2 3 2" xfId="89"/>
    <cellStyle name="Обычный 2 4" xfId="82"/>
    <cellStyle name="Обычный 2 5" xfId="90"/>
    <cellStyle name="Обычный 2_Дод до ріш.№ 1182 Про внесення змін у міський бюджет на 2019 рік" xfId="57"/>
    <cellStyle name="Обычный 3" xfId="58"/>
    <cellStyle name="Обычный 4" xfId="59"/>
    <cellStyle name="Обычный 5" xfId="60"/>
    <cellStyle name="Обычный 6" xfId="61"/>
    <cellStyle name="Обычный 6 2" xfId="83"/>
    <cellStyle name="Обычный 7" xfId="62"/>
    <cellStyle name="Обычный 7 2" xfId="84"/>
    <cellStyle name="Обычный 8" xfId="63"/>
    <cellStyle name="Обычный 8 2" xfId="85"/>
    <cellStyle name="Обычный 9" xfId="64"/>
    <cellStyle name="Обычный 9 2" xfId="86"/>
    <cellStyle name="Підсумок" xfId="65"/>
    <cellStyle name="Поганий" xfId="66"/>
    <cellStyle name="Примітка" xfId="67"/>
    <cellStyle name="Результат" xfId="68"/>
    <cellStyle name="Середній" xfId="69"/>
    <cellStyle name="Стиль 1" xfId="70"/>
    <cellStyle name="Текст попередження" xfId="71"/>
    <cellStyle name="Текст пояснення" xfId="72"/>
  </cellStyles>
  <dxfs count="2">
    <dxf>
      <font>
        <b/>
        <i val="0"/>
      </font>
      <fill>
        <patternFill>
          <bgColor indexed="41"/>
        </patternFill>
      </fill>
    </dxf>
    <dxf>
      <font>
        <b/>
        <i val="0"/>
      </font>
      <fill>
        <patternFill>
          <bgColor indexed="4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ntonina/Documents/&#1088;&#1110;&#1096;&#1077;&#1085;&#1085;&#1103;%20&#1089;&#1077;&#1089;&#1110;&#1103;/2023/&#1075;&#1088;&#1091;&#1076;&#1077;&#1085;&#1100;/&#1079;&#1084;&#1110;&#1085;&#1080;%20&#1076;&#1086;%20&#1073;&#1102;&#1076;&#1078;&#1077;&#1090;&#1091;/&#8470;%201342%20&#1044;&#1086;&#1076;&#1072;&#1090;&#1082;&#1080;%20&#1079;&#1084;&#1110;&#1085;&#1080;%20&#1076;&#1086;%20&#1073;&#1102;&#1078;&#1077;&#1090;&#1091;%20&#1075;&#1088;&#1091;&#1076;&#1077;&#1085;&#1100;%202023%20&#1088;&#1086;&#1082;&#1091;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од 1"/>
      <sheetName val="Зм дод 1.1"/>
      <sheetName val="дод 2 "/>
      <sheetName val="дод 3 "/>
      <sheetName val="Зм дод 3.1"/>
      <sheetName val="дод 4"/>
      <sheetName val="дод 5"/>
      <sheetName val="дод 6"/>
      <sheetName val="дод7"/>
      <sheetName val="дод8 "/>
      <sheetName val="дод9"/>
    </sheetNames>
    <sheetDataSet>
      <sheetData sheetId="0">
        <row r="116">
          <cell r="C116">
            <v>-6860619</v>
          </cell>
        </row>
      </sheetData>
      <sheetData sheetId="1"/>
      <sheetData sheetId="2"/>
      <sheetData sheetId="3"/>
      <sheetData sheetId="4">
        <row r="191">
          <cell r="F191">
            <v>353220</v>
          </cell>
        </row>
      </sheetData>
      <sheetData sheetId="5"/>
      <sheetData sheetId="6"/>
      <sheetData sheetId="7"/>
      <sheetData sheetId="8"/>
      <sheetData sheetId="9"/>
      <sheetData sheetId="10"/>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N142"/>
  <sheetViews>
    <sheetView tabSelected="1" view="pageBreakPreview" zoomScaleNormal="80" zoomScaleSheetLayoutView="100" workbookViewId="0">
      <selection activeCell="B4" sqref="B4:F4"/>
    </sheetView>
  </sheetViews>
  <sheetFormatPr defaultRowHeight="13.2" x14ac:dyDescent="0.25"/>
  <cols>
    <col min="1" max="1" width="12" style="15" customWidth="1"/>
    <col min="2" max="2" width="93.33203125" style="32" customWidth="1"/>
    <col min="3" max="3" width="14" style="177" customWidth="1"/>
    <col min="4" max="4" width="14.33203125" style="178" customWidth="1"/>
    <col min="5" max="5" width="12.88671875" style="177" customWidth="1"/>
    <col min="6" max="6" width="12.44140625" style="177" customWidth="1"/>
    <col min="7" max="7" width="0.88671875" style="15" hidden="1" customWidth="1"/>
    <col min="8" max="8" width="10.109375" style="15" customWidth="1"/>
    <col min="9" max="9" width="9.109375" style="15" customWidth="1"/>
    <col min="10" max="10" width="29.44140625" style="15" customWidth="1"/>
    <col min="11" max="11" width="9.109375" style="15" customWidth="1"/>
    <col min="12" max="12" width="8.88671875" style="15"/>
    <col min="13" max="13" width="0" style="15" hidden="1" customWidth="1"/>
    <col min="14" max="255" width="8.88671875" style="15"/>
    <col min="256" max="256" width="9.88671875" style="15" customWidth="1"/>
    <col min="257" max="257" width="58.44140625" style="15" customWidth="1"/>
    <col min="258" max="258" width="17" style="15" customWidth="1"/>
    <col min="259" max="259" width="18" style="15" customWidth="1"/>
    <col min="260" max="260" width="17.44140625" style="15" customWidth="1"/>
    <col min="261" max="267" width="0" style="15" hidden="1" customWidth="1"/>
    <col min="268" max="268" width="8.88671875" style="15"/>
    <col min="269" max="269" width="0" style="15" hidden="1" customWidth="1"/>
    <col min="270" max="511" width="8.88671875" style="15"/>
    <col min="512" max="512" width="9.88671875" style="15" customWidth="1"/>
    <col min="513" max="513" width="58.44140625" style="15" customWidth="1"/>
    <col min="514" max="514" width="17" style="15" customWidth="1"/>
    <col min="515" max="515" width="18" style="15" customWidth="1"/>
    <col min="516" max="516" width="17.44140625" style="15" customWidth="1"/>
    <col min="517" max="523" width="0" style="15" hidden="1" customWidth="1"/>
    <col min="524" max="524" width="8.88671875" style="15"/>
    <col min="525" max="525" width="0" style="15" hidden="1" customWidth="1"/>
    <col min="526" max="767" width="8.88671875" style="15"/>
    <col min="768" max="768" width="9.88671875" style="15" customWidth="1"/>
    <col min="769" max="769" width="58.44140625" style="15" customWidth="1"/>
    <col min="770" max="770" width="17" style="15" customWidth="1"/>
    <col min="771" max="771" width="18" style="15" customWidth="1"/>
    <col min="772" max="772" width="17.44140625" style="15" customWidth="1"/>
    <col min="773" max="779" width="0" style="15" hidden="1" customWidth="1"/>
    <col min="780" max="780" width="8.88671875" style="15"/>
    <col min="781" max="781" width="0" style="15" hidden="1" customWidth="1"/>
    <col min="782" max="1023" width="8.88671875" style="15"/>
    <col min="1024" max="1024" width="9.88671875" style="15" customWidth="1"/>
    <col min="1025" max="1025" width="58.44140625" style="15" customWidth="1"/>
    <col min="1026" max="1026" width="17" style="15" customWidth="1"/>
    <col min="1027" max="1027" width="18" style="15" customWidth="1"/>
    <col min="1028" max="1028" width="17.44140625" style="15" customWidth="1"/>
    <col min="1029" max="1035" width="0" style="15" hidden="1" customWidth="1"/>
    <col min="1036" max="1036" width="8.88671875" style="15"/>
    <col min="1037" max="1037" width="0" style="15" hidden="1" customWidth="1"/>
    <col min="1038" max="1279" width="8.88671875" style="15"/>
    <col min="1280" max="1280" width="9.88671875" style="15" customWidth="1"/>
    <col min="1281" max="1281" width="58.44140625" style="15" customWidth="1"/>
    <col min="1282" max="1282" width="17" style="15" customWidth="1"/>
    <col min="1283" max="1283" width="18" style="15" customWidth="1"/>
    <col min="1284" max="1284" width="17.44140625" style="15" customWidth="1"/>
    <col min="1285" max="1291" width="0" style="15" hidden="1" customWidth="1"/>
    <col min="1292" max="1292" width="8.88671875" style="15"/>
    <col min="1293" max="1293" width="0" style="15" hidden="1" customWidth="1"/>
    <col min="1294" max="1535" width="8.88671875" style="15"/>
    <col min="1536" max="1536" width="9.88671875" style="15" customWidth="1"/>
    <col min="1537" max="1537" width="58.44140625" style="15" customWidth="1"/>
    <col min="1538" max="1538" width="17" style="15" customWidth="1"/>
    <col min="1539" max="1539" width="18" style="15" customWidth="1"/>
    <col min="1540" max="1540" width="17.44140625" style="15" customWidth="1"/>
    <col min="1541" max="1547" width="0" style="15" hidden="1" customWidth="1"/>
    <col min="1548" max="1548" width="8.88671875" style="15"/>
    <col min="1549" max="1549" width="0" style="15" hidden="1" customWidth="1"/>
    <col min="1550" max="1791" width="8.88671875" style="15"/>
    <col min="1792" max="1792" width="9.88671875" style="15" customWidth="1"/>
    <col min="1793" max="1793" width="58.44140625" style="15" customWidth="1"/>
    <col min="1794" max="1794" width="17" style="15" customWidth="1"/>
    <col min="1795" max="1795" width="18" style="15" customWidth="1"/>
    <col min="1796" max="1796" width="17.44140625" style="15" customWidth="1"/>
    <col min="1797" max="1803" width="0" style="15" hidden="1" customWidth="1"/>
    <col min="1804" max="1804" width="8.88671875" style="15"/>
    <col min="1805" max="1805" width="0" style="15" hidden="1" customWidth="1"/>
    <col min="1806" max="2047" width="8.88671875" style="15"/>
    <col min="2048" max="2048" width="9.88671875" style="15" customWidth="1"/>
    <col min="2049" max="2049" width="58.44140625" style="15" customWidth="1"/>
    <col min="2050" max="2050" width="17" style="15" customWidth="1"/>
    <col min="2051" max="2051" width="18" style="15" customWidth="1"/>
    <col min="2052" max="2052" width="17.44140625" style="15" customWidth="1"/>
    <col min="2053" max="2059" width="0" style="15" hidden="1" customWidth="1"/>
    <col min="2060" max="2060" width="8.88671875" style="15"/>
    <col min="2061" max="2061" width="0" style="15" hidden="1" customWidth="1"/>
    <col min="2062" max="2303" width="8.88671875" style="15"/>
    <col min="2304" max="2304" width="9.88671875" style="15" customWidth="1"/>
    <col min="2305" max="2305" width="58.44140625" style="15" customWidth="1"/>
    <col min="2306" max="2306" width="17" style="15" customWidth="1"/>
    <col min="2307" max="2307" width="18" style="15" customWidth="1"/>
    <col min="2308" max="2308" width="17.44140625" style="15" customWidth="1"/>
    <col min="2309" max="2315" width="0" style="15" hidden="1" customWidth="1"/>
    <col min="2316" max="2316" width="8.88671875" style="15"/>
    <col min="2317" max="2317" width="0" style="15" hidden="1" customWidth="1"/>
    <col min="2318" max="2559" width="8.88671875" style="15"/>
    <col min="2560" max="2560" width="9.88671875" style="15" customWidth="1"/>
    <col min="2561" max="2561" width="58.44140625" style="15" customWidth="1"/>
    <col min="2562" max="2562" width="17" style="15" customWidth="1"/>
    <col min="2563" max="2563" width="18" style="15" customWidth="1"/>
    <col min="2564" max="2564" width="17.44140625" style="15" customWidth="1"/>
    <col min="2565" max="2571" width="0" style="15" hidden="1" customWidth="1"/>
    <col min="2572" max="2572" width="8.88671875" style="15"/>
    <col min="2573" max="2573" width="0" style="15" hidden="1" customWidth="1"/>
    <col min="2574" max="2815" width="8.88671875" style="15"/>
    <col min="2816" max="2816" width="9.88671875" style="15" customWidth="1"/>
    <col min="2817" max="2817" width="58.44140625" style="15" customWidth="1"/>
    <col min="2818" max="2818" width="17" style="15" customWidth="1"/>
    <col min="2819" max="2819" width="18" style="15" customWidth="1"/>
    <col min="2820" max="2820" width="17.44140625" style="15" customWidth="1"/>
    <col min="2821" max="2827" width="0" style="15" hidden="1" customWidth="1"/>
    <col min="2828" max="2828" width="8.88671875" style="15"/>
    <col min="2829" max="2829" width="0" style="15" hidden="1" customWidth="1"/>
    <col min="2830" max="3071" width="8.88671875" style="15"/>
    <col min="3072" max="3072" width="9.88671875" style="15" customWidth="1"/>
    <col min="3073" max="3073" width="58.44140625" style="15" customWidth="1"/>
    <col min="3074" max="3074" width="17" style="15" customWidth="1"/>
    <col min="3075" max="3075" width="18" style="15" customWidth="1"/>
    <col min="3076" max="3076" width="17.44140625" style="15" customWidth="1"/>
    <col min="3077" max="3083" width="0" style="15" hidden="1" customWidth="1"/>
    <col min="3084" max="3084" width="8.88671875" style="15"/>
    <col min="3085" max="3085" width="0" style="15" hidden="1" customWidth="1"/>
    <col min="3086" max="3327" width="8.88671875" style="15"/>
    <col min="3328" max="3328" width="9.88671875" style="15" customWidth="1"/>
    <col min="3329" max="3329" width="58.44140625" style="15" customWidth="1"/>
    <col min="3330" max="3330" width="17" style="15" customWidth="1"/>
    <col min="3331" max="3331" width="18" style="15" customWidth="1"/>
    <col min="3332" max="3332" width="17.44140625" style="15" customWidth="1"/>
    <col min="3333" max="3339" width="0" style="15" hidden="1" customWidth="1"/>
    <col min="3340" max="3340" width="8.88671875" style="15"/>
    <col min="3341" max="3341" width="0" style="15" hidden="1" customWidth="1"/>
    <col min="3342" max="3583" width="8.88671875" style="15"/>
    <col min="3584" max="3584" width="9.88671875" style="15" customWidth="1"/>
    <col min="3585" max="3585" width="58.44140625" style="15" customWidth="1"/>
    <col min="3586" max="3586" width="17" style="15" customWidth="1"/>
    <col min="3587" max="3587" width="18" style="15" customWidth="1"/>
    <col min="3588" max="3588" width="17.44140625" style="15" customWidth="1"/>
    <col min="3589" max="3595" width="0" style="15" hidden="1" customWidth="1"/>
    <col min="3596" max="3596" width="8.88671875" style="15"/>
    <col min="3597" max="3597" width="0" style="15" hidden="1" customWidth="1"/>
    <col min="3598" max="3839" width="8.88671875" style="15"/>
    <col min="3840" max="3840" width="9.88671875" style="15" customWidth="1"/>
    <col min="3841" max="3841" width="58.44140625" style="15" customWidth="1"/>
    <col min="3842" max="3842" width="17" style="15" customWidth="1"/>
    <col min="3843" max="3843" width="18" style="15" customWidth="1"/>
    <col min="3844" max="3844" width="17.44140625" style="15" customWidth="1"/>
    <col min="3845" max="3851" width="0" style="15" hidden="1" customWidth="1"/>
    <col min="3852" max="3852" width="8.88671875" style="15"/>
    <col min="3853" max="3853" width="0" style="15" hidden="1" customWidth="1"/>
    <col min="3854" max="4095" width="8.88671875" style="15"/>
    <col min="4096" max="4096" width="9.88671875" style="15" customWidth="1"/>
    <col min="4097" max="4097" width="58.44140625" style="15" customWidth="1"/>
    <col min="4098" max="4098" width="17" style="15" customWidth="1"/>
    <col min="4099" max="4099" width="18" style="15" customWidth="1"/>
    <col min="4100" max="4100" width="17.44140625" style="15" customWidth="1"/>
    <col min="4101" max="4107" width="0" style="15" hidden="1" customWidth="1"/>
    <col min="4108" max="4108" width="8.88671875" style="15"/>
    <col min="4109" max="4109" width="0" style="15" hidden="1" customWidth="1"/>
    <col min="4110" max="4351" width="8.88671875" style="15"/>
    <col min="4352" max="4352" width="9.88671875" style="15" customWidth="1"/>
    <col min="4353" max="4353" width="58.44140625" style="15" customWidth="1"/>
    <col min="4354" max="4354" width="17" style="15" customWidth="1"/>
    <col min="4355" max="4355" width="18" style="15" customWidth="1"/>
    <col min="4356" max="4356" width="17.44140625" style="15" customWidth="1"/>
    <col min="4357" max="4363" width="0" style="15" hidden="1" customWidth="1"/>
    <col min="4364" max="4364" width="8.88671875" style="15"/>
    <col min="4365" max="4365" width="0" style="15" hidden="1" customWidth="1"/>
    <col min="4366" max="4607" width="8.88671875" style="15"/>
    <col min="4608" max="4608" width="9.88671875" style="15" customWidth="1"/>
    <col min="4609" max="4609" width="58.44140625" style="15" customWidth="1"/>
    <col min="4610" max="4610" width="17" style="15" customWidth="1"/>
    <col min="4611" max="4611" width="18" style="15" customWidth="1"/>
    <col min="4612" max="4612" width="17.44140625" style="15" customWidth="1"/>
    <col min="4613" max="4619" width="0" style="15" hidden="1" customWidth="1"/>
    <col min="4620" max="4620" width="8.88671875" style="15"/>
    <col min="4621" max="4621" width="0" style="15" hidden="1" customWidth="1"/>
    <col min="4622" max="4863" width="8.88671875" style="15"/>
    <col min="4864" max="4864" width="9.88671875" style="15" customWidth="1"/>
    <col min="4865" max="4865" width="58.44140625" style="15" customWidth="1"/>
    <col min="4866" max="4866" width="17" style="15" customWidth="1"/>
    <col min="4867" max="4867" width="18" style="15" customWidth="1"/>
    <col min="4868" max="4868" width="17.44140625" style="15" customWidth="1"/>
    <col min="4869" max="4875" width="0" style="15" hidden="1" customWidth="1"/>
    <col min="4876" max="4876" width="8.88671875" style="15"/>
    <col min="4877" max="4877" width="0" style="15" hidden="1" customWidth="1"/>
    <col min="4878" max="5119" width="8.88671875" style="15"/>
    <col min="5120" max="5120" width="9.88671875" style="15" customWidth="1"/>
    <col min="5121" max="5121" width="58.44140625" style="15" customWidth="1"/>
    <col min="5122" max="5122" width="17" style="15" customWidth="1"/>
    <col min="5123" max="5123" width="18" style="15" customWidth="1"/>
    <col min="5124" max="5124" width="17.44140625" style="15" customWidth="1"/>
    <col min="5125" max="5131" width="0" style="15" hidden="1" customWidth="1"/>
    <col min="5132" max="5132" width="8.88671875" style="15"/>
    <col min="5133" max="5133" width="0" style="15" hidden="1" customWidth="1"/>
    <col min="5134" max="5375" width="8.88671875" style="15"/>
    <col min="5376" max="5376" width="9.88671875" style="15" customWidth="1"/>
    <col min="5377" max="5377" width="58.44140625" style="15" customWidth="1"/>
    <col min="5378" max="5378" width="17" style="15" customWidth="1"/>
    <col min="5379" max="5379" width="18" style="15" customWidth="1"/>
    <col min="5380" max="5380" width="17.44140625" style="15" customWidth="1"/>
    <col min="5381" max="5387" width="0" style="15" hidden="1" customWidth="1"/>
    <col min="5388" max="5388" width="8.88671875" style="15"/>
    <col min="5389" max="5389" width="0" style="15" hidden="1" customWidth="1"/>
    <col min="5390" max="5631" width="8.88671875" style="15"/>
    <col min="5632" max="5632" width="9.88671875" style="15" customWidth="1"/>
    <col min="5633" max="5633" width="58.44140625" style="15" customWidth="1"/>
    <col min="5634" max="5634" width="17" style="15" customWidth="1"/>
    <col min="5635" max="5635" width="18" style="15" customWidth="1"/>
    <col min="5636" max="5636" width="17.44140625" style="15" customWidth="1"/>
    <col min="5637" max="5643" width="0" style="15" hidden="1" customWidth="1"/>
    <col min="5644" max="5644" width="8.88671875" style="15"/>
    <col min="5645" max="5645" width="0" style="15" hidden="1" customWidth="1"/>
    <col min="5646" max="5887" width="8.88671875" style="15"/>
    <col min="5888" max="5888" width="9.88671875" style="15" customWidth="1"/>
    <col min="5889" max="5889" width="58.44140625" style="15" customWidth="1"/>
    <col min="5890" max="5890" width="17" style="15" customWidth="1"/>
    <col min="5891" max="5891" width="18" style="15" customWidth="1"/>
    <col min="5892" max="5892" width="17.44140625" style="15" customWidth="1"/>
    <col min="5893" max="5899" width="0" style="15" hidden="1" customWidth="1"/>
    <col min="5900" max="5900" width="8.88671875" style="15"/>
    <col min="5901" max="5901" width="0" style="15" hidden="1" customWidth="1"/>
    <col min="5902" max="6143" width="8.88671875" style="15"/>
    <col min="6144" max="6144" width="9.88671875" style="15" customWidth="1"/>
    <col min="6145" max="6145" width="58.44140625" style="15" customWidth="1"/>
    <col min="6146" max="6146" width="17" style="15" customWidth="1"/>
    <col min="6147" max="6147" width="18" style="15" customWidth="1"/>
    <col min="6148" max="6148" width="17.44140625" style="15" customWidth="1"/>
    <col min="6149" max="6155" width="0" style="15" hidden="1" customWidth="1"/>
    <col min="6156" max="6156" width="8.88671875" style="15"/>
    <col min="6157" max="6157" width="0" style="15" hidden="1" customWidth="1"/>
    <col min="6158" max="6399" width="8.88671875" style="15"/>
    <col min="6400" max="6400" width="9.88671875" style="15" customWidth="1"/>
    <col min="6401" max="6401" width="58.44140625" style="15" customWidth="1"/>
    <col min="6402" max="6402" width="17" style="15" customWidth="1"/>
    <col min="6403" max="6403" width="18" style="15" customWidth="1"/>
    <col min="6404" max="6404" width="17.44140625" style="15" customWidth="1"/>
    <col min="6405" max="6411" width="0" style="15" hidden="1" customWidth="1"/>
    <col min="6412" max="6412" width="8.88671875" style="15"/>
    <col min="6413" max="6413" width="0" style="15" hidden="1" customWidth="1"/>
    <col min="6414" max="6655" width="8.88671875" style="15"/>
    <col min="6656" max="6656" width="9.88671875" style="15" customWidth="1"/>
    <col min="6657" max="6657" width="58.44140625" style="15" customWidth="1"/>
    <col min="6658" max="6658" width="17" style="15" customWidth="1"/>
    <col min="6659" max="6659" width="18" style="15" customWidth="1"/>
    <col min="6660" max="6660" width="17.44140625" style="15" customWidth="1"/>
    <col min="6661" max="6667" width="0" style="15" hidden="1" customWidth="1"/>
    <col min="6668" max="6668" width="8.88671875" style="15"/>
    <col min="6669" max="6669" width="0" style="15" hidden="1" customWidth="1"/>
    <col min="6670" max="6911" width="8.88671875" style="15"/>
    <col min="6912" max="6912" width="9.88671875" style="15" customWidth="1"/>
    <col min="6913" max="6913" width="58.44140625" style="15" customWidth="1"/>
    <col min="6914" max="6914" width="17" style="15" customWidth="1"/>
    <col min="6915" max="6915" width="18" style="15" customWidth="1"/>
    <col min="6916" max="6916" width="17.44140625" style="15" customWidth="1"/>
    <col min="6917" max="6923" width="0" style="15" hidden="1" customWidth="1"/>
    <col min="6924" max="6924" width="8.88671875" style="15"/>
    <col min="6925" max="6925" width="0" style="15" hidden="1" customWidth="1"/>
    <col min="6926" max="7167" width="8.88671875" style="15"/>
    <col min="7168" max="7168" width="9.88671875" style="15" customWidth="1"/>
    <col min="7169" max="7169" width="58.44140625" style="15" customWidth="1"/>
    <col min="7170" max="7170" width="17" style="15" customWidth="1"/>
    <col min="7171" max="7171" width="18" style="15" customWidth="1"/>
    <col min="7172" max="7172" width="17.44140625" style="15" customWidth="1"/>
    <col min="7173" max="7179" width="0" style="15" hidden="1" customWidth="1"/>
    <col min="7180" max="7180" width="8.88671875" style="15"/>
    <col min="7181" max="7181" width="0" style="15" hidden="1" customWidth="1"/>
    <col min="7182" max="7423" width="8.88671875" style="15"/>
    <col min="7424" max="7424" width="9.88671875" style="15" customWidth="1"/>
    <col min="7425" max="7425" width="58.44140625" style="15" customWidth="1"/>
    <col min="7426" max="7426" width="17" style="15" customWidth="1"/>
    <col min="7427" max="7427" width="18" style="15" customWidth="1"/>
    <col min="7428" max="7428" width="17.44140625" style="15" customWidth="1"/>
    <col min="7429" max="7435" width="0" style="15" hidden="1" customWidth="1"/>
    <col min="7436" max="7436" width="8.88671875" style="15"/>
    <col min="7437" max="7437" width="0" style="15" hidden="1" customWidth="1"/>
    <col min="7438" max="7679" width="8.88671875" style="15"/>
    <col min="7680" max="7680" width="9.88671875" style="15" customWidth="1"/>
    <col min="7681" max="7681" width="58.44140625" style="15" customWidth="1"/>
    <col min="7682" max="7682" width="17" style="15" customWidth="1"/>
    <col min="7683" max="7683" width="18" style="15" customWidth="1"/>
    <col min="7684" max="7684" width="17.44140625" style="15" customWidth="1"/>
    <col min="7685" max="7691" width="0" style="15" hidden="1" customWidth="1"/>
    <col min="7692" max="7692" width="8.88671875" style="15"/>
    <col min="7693" max="7693" width="0" style="15" hidden="1" customWidth="1"/>
    <col min="7694" max="7935" width="8.88671875" style="15"/>
    <col min="7936" max="7936" width="9.88671875" style="15" customWidth="1"/>
    <col min="7937" max="7937" width="58.44140625" style="15" customWidth="1"/>
    <col min="7938" max="7938" width="17" style="15" customWidth="1"/>
    <col min="7939" max="7939" width="18" style="15" customWidth="1"/>
    <col min="7940" max="7940" width="17.44140625" style="15" customWidth="1"/>
    <col min="7941" max="7947" width="0" style="15" hidden="1" customWidth="1"/>
    <col min="7948" max="7948" width="8.88671875" style="15"/>
    <col min="7949" max="7949" width="0" style="15" hidden="1" customWidth="1"/>
    <col min="7950" max="8191" width="8.88671875" style="15"/>
    <col min="8192" max="8192" width="9.88671875" style="15" customWidth="1"/>
    <col min="8193" max="8193" width="58.44140625" style="15" customWidth="1"/>
    <col min="8194" max="8194" width="17" style="15" customWidth="1"/>
    <col min="8195" max="8195" width="18" style="15" customWidth="1"/>
    <col min="8196" max="8196" width="17.44140625" style="15" customWidth="1"/>
    <col min="8197" max="8203" width="0" style="15" hidden="1" customWidth="1"/>
    <col min="8204" max="8204" width="8.88671875" style="15"/>
    <col min="8205" max="8205" width="0" style="15" hidden="1" customWidth="1"/>
    <col min="8206" max="8447" width="8.88671875" style="15"/>
    <col min="8448" max="8448" width="9.88671875" style="15" customWidth="1"/>
    <col min="8449" max="8449" width="58.44140625" style="15" customWidth="1"/>
    <col min="8450" max="8450" width="17" style="15" customWidth="1"/>
    <col min="8451" max="8451" width="18" style="15" customWidth="1"/>
    <col min="8452" max="8452" width="17.44140625" style="15" customWidth="1"/>
    <col min="8453" max="8459" width="0" style="15" hidden="1" customWidth="1"/>
    <col min="8460" max="8460" width="8.88671875" style="15"/>
    <col min="8461" max="8461" width="0" style="15" hidden="1" customWidth="1"/>
    <col min="8462" max="8703" width="8.88671875" style="15"/>
    <col min="8704" max="8704" width="9.88671875" style="15" customWidth="1"/>
    <col min="8705" max="8705" width="58.44140625" style="15" customWidth="1"/>
    <col min="8706" max="8706" width="17" style="15" customWidth="1"/>
    <col min="8707" max="8707" width="18" style="15" customWidth="1"/>
    <col min="8708" max="8708" width="17.44140625" style="15" customWidth="1"/>
    <col min="8709" max="8715" width="0" style="15" hidden="1" customWidth="1"/>
    <col min="8716" max="8716" width="8.88671875" style="15"/>
    <col min="8717" max="8717" width="0" style="15" hidden="1" customWidth="1"/>
    <col min="8718" max="8959" width="8.88671875" style="15"/>
    <col min="8960" max="8960" width="9.88671875" style="15" customWidth="1"/>
    <col min="8961" max="8961" width="58.44140625" style="15" customWidth="1"/>
    <col min="8962" max="8962" width="17" style="15" customWidth="1"/>
    <col min="8963" max="8963" width="18" style="15" customWidth="1"/>
    <col min="8964" max="8964" width="17.44140625" style="15" customWidth="1"/>
    <col min="8965" max="8971" width="0" style="15" hidden="1" customWidth="1"/>
    <col min="8972" max="8972" width="8.88671875" style="15"/>
    <col min="8973" max="8973" width="0" style="15" hidden="1" customWidth="1"/>
    <col min="8974" max="9215" width="8.88671875" style="15"/>
    <col min="9216" max="9216" width="9.88671875" style="15" customWidth="1"/>
    <col min="9217" max="9217" width="58.44140625" style="15" customWidth="1"/>
    <col min="9218" max="9218" width="17" style="15" customWidth="1"/>
    <col min="9219" max="9219" width="18" style="15" customWidth="1"/>
    <col min="9220" max="9220" width="17.44140625" style="15" customWidth="1"/>
    <col min="9221" max="9227" width="0" style="15" hidden="1" customWidth="1"/>
    <col min="9228" max="9228" width="8.88671875" style="15"/>
    <col min="9229" max="9229" width="0" style="15" hidden="1" customWidth="1"/>
    <col min="9230" max="9471" width="8.88671875" style="15"/>
    <col min="9472" max="9472" width="9.88671875" style="15" customWidth="1"/>
    <col min="9473" max="9473" width="58.44140625" style="15" customWidth="1"/>
    <col min="9474" max="9474" width="17" style="15" customWidth="1"/>
    <col min="9475" max="9475" width="18" style="15" customWidth="1"/>
    <col min="9476" max="9476" width="17.44140625" style="15" customWidth="1"/>
    <col min="9477" max="9483" width="0" style="15" hidden="1" customWidth="1"/>
    <col min="9484" max="9484" width="8.88671875" style="15"/>
    <col min="9485" max="9485" width="0" style="15" hidden="1" customWidth="1"/>
    <col min="9486" max="9727" width="8.88671875" style="15"/>
    <col min="9728" max="9728" width="9.88671875" style="15" customWidth="1"/>
    <col min="9729" max="9729" width="58.44140625" style="15" customWidth="1"/>
    <col min="9730" max="9730" width="17" style="15" customWidth="1"/>
    <col min="9731" max="9731" width="18" style="15" customWidth="1"/>
    <col min="9732" max="9732" width="17.44140625" style="15" customWidth="1"/>
    <col min="9733" max="9739" width="0" style="15" hidden="1" customWidth="1"/>
    <col min="9740" max="9740" width="8.88671875" style="15"/>
    <col min="9741" max="9741" width="0" style="15" hidden="1" customWidth="1"/>
    <col min="9742" max="9983" width="8.88671875" style="15"/>
    <col min="9984" max="9984" width="9.88671875" style="15" customWidth="1"/>
    <col min="9985" max="9985" width="58.44140625" style="15" customWidth="1"/>
    <col min="9986" max="9986" width="17" style="15" customWidth="1"/>
    <col min="9987" max="9987" width="18" style="15" customWidth="1"/>
    <col min="9988" max="9988" width="17.44140625" style="15" customWidth="1"/>
    <col min="9989" max="9995" width="0" style="15" hidden="1" customWidth="1"/>
    <col min="9996" max="9996" width="8.88671875" style="15"/>
    <col min="9997" max="9997" width="0" style="15" hidden="1" customWidth="1"/>
    <col min="9998" max="10239" width="8.88671875" style="15"/>
    <col min="10240" max="10240" width="9.88671875" style="15" customWidth="1"/>
    <col min="10241" max="10241" width="58.44140625" style="15" customWidth="1"/>
    <col min="10242" max="10242" width="17" style="15" customWidth="1"/>
    <col min="10243" max="10243" width="18" style="15" customWidth="1"/>
    <col min="10244" max="10244" width="17.44140625" style="15" customWidth="1"/>
    <col min="10245" max="10251" width="0" style="15" hidden="1" customWidth="1"/>
    <col min="10252" max="10252" width="8.88671875" style="15"/>
    <col min="10253" max="10253" width="0" style="15" hidden="1" customWidth="1"/>
    <col min="10254" max="10495" width="8.88671875" style="15"/>
    <col min="10496" max="10496" width="9.88671875" style="15" customWidth="1"/>
    <col min="10497" max="10497" width="58.44140625" style="15" customWidth="1"/>
    <col min="10498" max="10498" width="17" style="15" customWidth="1"/>
    <col min="10499" max="10499" width="18" style="15" customWidth="1"/>
    <col min="10500" max="10500" width="17.44140625" style="15" customWidth="1"/>
    <col min="10501" max="10507" width="0" style="15" hidden="1" customWidth="1"/>
    <col min="10508" max="10508" width="8.88671875" style="15"/>
    <col min="10509" max="10509" width="0" style="15" hidden="1" customWidth="1"/>
    <col min="10510" max="10751" width="8.88671875" style="15"/>
    <col min="10752" max="10752" width="9.88671875" style="15" customWidth="1"/>
    <col min="10753" max="10753" width="58.44140625" style="15" customWidth="1"/>
    <col min="10754" max="10754" width="17" style="15" customWidth="1"/>
    <col min="10755" max="10755" width="18" style="15" customWidth="1"/>
    <col min="10756" max="10756" width="17.44140625" style="15" customWidth="1"/>
    <col min="10757" max="10763" width="0" style="15" hidden="1" customWidth="1"/>
    <col min="10764" max="10764" width="8.88671875" style="15"/>
    <col min="10765" max="10765" width="0" style="15" hidden="1" customWidth="1"/>
    <col min="10766" max="11007" width="8.88671875" style="15"/>
    <col min="11008" max="11008" width="9.88671875" style="15" customWidth="1"/>
    <col min="11009" max="11009" width="58.44140625" style="15" customWidth="1"/>
    <col min="11010" max="11010" width="17" style="15" customWidth="1"/>
    <col min="11011" max="11011" width="18" style="15" customWidth="1"/>
    <col min="11012" max="11012" width="17.44140625" style="15" customWidth="1"/>
    <col min="11013" max="11019" width="0" style="15" hidden="1" customWidth="1"/>
    <col min="11020" max="11020" width="8.88671875" style="15"/>
    <col min="11021" max="11021" width="0" style="15" hidden="1" customWidth="1"/>
    <col min="11022" max="11263" width="8.88671875" style="15"/>
    <col min="11264" max="11264" width="9.88671875" style="15" customWidth="1"/>
    <col min="11265" max="11265" width="58.44140625" style="15" customWidth="1"/>
    <col min="11266" max="11266" width="17" style="15" customWidth="1"/>
    <col min="11267" max="11267" width="18" style="15" customWidth="1"/>
    <col min="11268" max="11268" width="17.44140625" style="15" customWidth="1"/>
    <col min="11269" max="11275" width="0" style="15" hidden="1" customWidth="1"/>
    <col min="11276" max="11276" width="8.88671875" style="15"/>
    <col min="11277" max="11277" width="0" style="15" hidden="1" customWidth="1"/>
    <col min="11278" max="11519" width="8.88671875" style="15"/>
    <col min="11520" max="11520" width="9.88671875" style="15" customWidth="1"/>
    <col min="11521" max="11521" width="58.44140625" style="15" customWidth="1"/>
    <col min="11522" max="11522" width="17" style="15" customWidth="1"/>
    <col min="11523" max="11523" width="18" style="15" customWidth="1"/>
    <col min="11524" max="11524" width="17.44140625" style="15" customWidth="1"/>
    <col min="11525" max="11531" width="0" style="15" hidden="1" customWidth="1"/>
    <col min="11532" max="11532" width="8.88671875" style="15"/>
    <col min="11533" max="11533" width="0" style="15" hidden="1" customWidth="1"/>
    <col min="11534" max="11775" width="8.88671875" style="15"/>
    <col min="11776" max="11776" width="9.88671875" style="15" customWidth="1"/>
    <col min="11777" max="11777" width="58.44140625" style="15" customWidth="1"/>
    <col min="11778" max="11778" width="17" style="15" customWidth="1"/>
    <col min="11779" max="11779" width="18" style="15" customWidth="1"/>
    <col min="11780" max="11780" width="17.44140625" style="15" customWidth="1"/>
    <col min="11781" max="11787" width="0" style="15" hidden="1" customWidth="1"/>
    <col min="11788" max="11788" width="8.88671875" style="15"/>
    <col min="11789" max="11789" width="0" style="15" hidden="1" customWidth="1"/>
    <col min="11790" max="12031" width="8.88671875" style="15"/>
    <col min="12032" max="12032" width="9.88671875" style="15" customWidth="1"/>
    <col min="12033" max="12033" width="58.44140625" style="15" customWidth="1"/>
    <col min="12034" max="12034" width="17" style="15" customWidth="1"/>
    <col min="12035" max="12035" width="18" style="15" customWidth="1"/>
    <col min="12036" max="12036" width="17.44140625" style="15" customWidth="1"/>
    <col min="12037" max="12043" width="0" style="15" hidden="1" customWidth="1"/>
    <col min="12044" max="12044" width="8.88671875" style="15"/>
    <col min="12045" max="12045" width="0" style="15" hidden="1" customWidth="1"/>
    <col min="12046" max="12287" width="8.88671875" style="15"/>
    <col min="12288" max="12288" width="9.88671875" style="15" customWidth="1"/>
    <col min="12289" max="12289" width="58.44140625" style="15" customWidth="1"/>
    <col min="12290" max="12290" width="17" style="15" customWidth="1"/>
    <col min="12291" max="12291" width="18" style="15" customWidth="1"/>
    <col min="12292" max="12292" width="17.44140625" style="15" customWidth="1"/>
    <col min="12293" max="12299" width="0" style="15" hidden="1" customWidth="1"/>
    <col min="12300" max="12300" width="8.88671875" style="15"/>
    <col min="12301" max="12301" width="0" style="15" hidden="1" customWidth="1"/>
    <col min="12302" max="12543" width="8.88671875" style="15"/>
    <col min="12544" max="12544" width="9.88671875" style="15" customWidth="1"/>
    <col min="12545" max="12545" width="58.44140625" style="15" customWidth="1"/>
    <col min="12546" max="12546" width="17" style="15" customWidth="1"/>
    <col min="12547" max="12547" width="18" style="15" customWidth="1"/>
    <col min="12548" max="12548" width="17.44140625" style="15" customWidth="1"/>
    <col min="12549" max="12555" width="0" style="15" hidden="1" customWidth="1"/>
    <col min="12556" max="12556" width="8.88671875" style="15"/>
    <col min="12557" max="12557" width="0" style="15" hidden="1" customWidth="1"/>
    <col min="12558" max="12799" width="8.88671875" style="15"/>
    <col min="12800" max="12800" width="9.88671875" style="15" customWidth="1"/>
    <col min="12801" max="12801" width="58.44140625" style="15" customWidth="1"/>
    <col min="12802" max="12802" width="17" style="15" customWidth="1"/>
    <col min="12803" max="12803" width="18" style="15" customWidth="1"/>
    <col min="12804" max="12804" width="17.44140625" style="15" customWidth="1"/>
    <col min="12805" max="12811" width="0" style="15" hidden="1" customWidth="1"/>
    <col min="12812" max="12812" width="8.88671875" style="15"/>
    <col min="12813" max="12813" width="0" style="15" hidden="1" customWidth="1"/>
    <col min="12814" max="13055" width="8.88671875" style="15"/>
    <col min="13056" max="13056" width="9.88671875" style="15" customWidth="1"/>
    <col min="13057" max="13057" width="58.44140625" style="15" customWidth="1"/>
    <col min="13058" max="13058" width="17" style="15" customWidth="1"/>
    <col min="13059" max="13059" width="18" style="15" customWidth="1"/>
    <col min="13060" max="13060" width="17.44140625" style="15" customWidth="1"/>
    <col min="13061" max="13067" width="0" style="15" hidden="1" customWidth="1"/>
    <col min="13068" max="13068" width="8.88671875" style="15"/>
    <col min="13069" max="13069" width="0" style="15" hidden="1" customWidth="1"/>
    <col min="13070" max="13311" width="8.88671875" style="15"/>
    <col min="13312" max="13312" width="9.88671875" style="15" customWidth="1"/>
    <col min="13313" max="13313" width="58.44140625" style="15" customWidth="1"/>
    <col min="13314" max="13314" width="17" style="15" customWidth="1"/>
    <col min="13315" max="13315" width="18" style="15" customWidth="1"/>
    <col min="13316" max="13316" width="17.44140625" style="15" customWidth="1"/>
    <col min="13317" max="13323" width="0" style="15" hidden="1" customWidth="1"/>
    <col min="13324" max="13324" width="8.88671875" style="15"/>
    <col min="13325" max="13325" width="0" style="15" hidden="1" customWidth="1"/>
    <col min="13326" max="13567" width="8.88671875" style="15"/>
    <col min="13568" max="13568" width="9.88671875" style="15" customWidth="1"/>
    <col min="13569" max="13569" width="58.44140625" style="15" customWidth="1"/>
    <col min="13570" max="13570" width="17" style="15" customWidth="1"/>
    <col min="13571" max="13571" width="18" style="15" customWidth="1"/>
    <col min="13572" max="13572" width="17.44140625" style="15" customWidth="1"/>
    <col min="13573" max="13579" width="0" style="15" hidden="1" customWidth="1"/>
    <col min="13580" max="13580" width="8.88671875" style="15"/>
    <col min="13581" max="13581" width="0" style="15" hidden="1" customWidth="1"/>
    <col min="13582" max="13823" width="8.88671875" style="15"/>
    <col min="13824" max="13824" width="9.88671875" style="15" customWidth="1"/>
    <col min="13825" max="13825" width="58.44140625" style="15" customWidth="1"/>
    <col min="13826" max="13826" width="17" style="15" customWidth="1"/>
    <col min="13827" max="13827" width="18" style="15" customWidth="1"/>
    <col min="13828" max="13828" width="17.44140625" style="15" customWidth="1"/>
    <col min="13829" max="13835" width="0" style="15" hidden="1" customWidth="1"/>
    <col min="13836" max="13836" width="8.88671875" style="15"/>
    <col min="13837" max="13837" width="0" style="15" hidden="1" customWidth="1"/>
    <col min="13838" max="14079" width="8.88671875" style="15"/>
    <col min="14080" max="14080" width="9.88671875" style="15" customWidth="1"/>
    <col min="14081" max="14081" width="58.44140625" style="15" customWidth="1"/>
    <col min="14082" max="14082" width="17" style="15" customWidth="1"/>
    <col min="14083" max="14083" width="18" style="15" customWidth="1"/>
    <col min="14084" max="14084" width="17.44140625" style="15" customWidth="1"/>
    <col min="14085" max="14091" width="0" style="15" hidden="1" customWidth="1"/>
    <col min="14092" max="14092" width="8.88671875" style="15"/>
    <col min="14093" max="14093" width="0" style="15" hidden="1" customWidth="1"/>
    <col min="14094" max="14335" width="8.88671875" style="15"/>
    <col min="14336" max="14336" width="9.88671875" style="15" customWidth="1"/>
    <col min="14337" max="14337" width="58.44140625" style="15" customWidth="1"/>
    <col min="14338" max="14338" width="17" style="15" customWidth="1"/>
    <col min="14339" max="14339" width="18" style="15" customWidth="1"/>
    <col min="14340" max="14340" width="17.44140625" style="15" customWidth="1"/>
    <col min="14341" max="14347" width="0" style="15" hidden="1" customWidth="1"/>
    <col min="14348" max="14348" width="8.88671875" style="15"/>
    <col min="14349" max="14349" width="0" style="15" hidden="1" customWidth="1"/>
    <col min="14350" max="14591" width="8.88671875" style="15"/>
    <col min="14592" max="14592" width="9.88671875" style="15" customWidth="1"/>
    <col min="14593" max="14593" width="58.44140625" style="15" customWidth="1"/>
    <col min="14594" max="14594" width="17" style="15" customWidth="1"/>
    <col min="14595" max="14595" width="18" style="15" customWidth="1"/>
    <col min="14596" max="14596" width="17.44140625" style="15" customWidth="1"/>
    <col min="14597" max="14603" width="0" style="15" hidden="1" customWidth="1"/>
    <col min="14604" max="14604" width="8.88671875" style="15"/>
    <col min="14605" max="14605" width="0" style="15" hidden="1" customWidth="1"/>
    <col min="14606" max="14847" width="8.88671875" style="15"/>
    <col min="14848" max="14848" width="9.88671875" style="15" customWidth="1"/>
    <col min="14849" max="14849" width="58.44140625" style="15" customWidth="1"/>
    <col min="14850" max="14850" width="17" style="15" customWidth="1"/>
    <col min="14851" max="14851" width="18" style="15" customWidth="1"/>
    <col min="14852" max="14852" width="17.44140625" style="15" customWidth="1"/>
    <col min="14853" max="14859" width="0" style="15" hidden="1" customWidth="1"/>
    <col min="14860" max="14860" width="8.88671875" style="15"/>
    <col min="14861" max="14861" width="0" style="15" hidden="1" customWidth="1"/>
    <col min="14862" max="15103" width="8.88671875" style="15"/>
    <col min="15104" max="15104" width="9.88671875" style="15" customWidth="1"/>
    <col min="15105" max="15105" width="58.44140625" style="15" customWidth="1"/>
    <col min="15106" max="15106" width="17" style="15" customWidth="1"/>
    <col min="15107" max="15107" width="18" style="15" customWidth="1"/>
    <col min="15108" max="15108" width="17.44140625" style="15" customWidth="1"/>
    <col min="15109" max="15115" width="0" style="15" hidden="1" customWidth="1"/>
    <col min="15116" max="15116" width="8.88671875" style="15"/>
    <col min="15117" max="15117" width="0" style="15" hidden="1" customWidth="1"/>
    <col min="15118" max="15359" width="8.88671875" style="15"/>
    <col min="15360" max="15360" width="9.88671875" style="15" customWidth="1"/>
    <col min="15361" max="15361" width="58.44140625" style="15" customWidth="1"/>
    <col min="15362" max="15362" width="17" style="15" customWidth="1"/>
    <col min="15363" max="15363" width="18" style="15" customWidth="1"/>
    <col min="15364" max="15364" width="17.44140625" style="15" customWidth="1"/>
    <col min="15365" max="15371" width="0" style="15" hidden="1" customWidth="1"/>
    <col min="15372" max="15372" width="8.88671875" style="15"/>
    <col min="15373" max="15373" width="0" style="15" hidden="1" customWidth="1"/>
    <col min="15374" max="15615" width="8.88671875" style="15"/>
    <col min="15616" max="15616" width="9.88671875" style="15" customWidth="1"/>
    <col min="15617" max="15617" width="58.44140625" style="15" customWidth="1"/>
    <col min="15618" max="15618" width="17" style="15" customWidth="1"/>
    <col min="15619" max="15619" width="18" style="15" customWidth="1"/>
    <col min="15620" max="15620" width="17.44140625" style="15" customWidth="1"/>
    <col min="15621" max="15627" width="0" style="15" hidden="1" customWidth="1"/>
    <col min="15628" max="15628" width="8.88671875" style="15"/>
    <col min="15629" max="15629" width="0" style="15" hidden="1" customWidth="1"/>
    <col min="15630" max="15871" width="8.88671875" style="15"/>
    <col min="15872" max="15872" width="9.88671875" style="15" customWidth="1"/>
    <col min="15873" max="15873" width="58.44140625" style="15" customWidth="1"/>
    <col min="15874" max="15874" width="17" style="15" customWidth="1"/>
    <col min="15875" max="15875" width="18" style="15" customWidth="1"/>
    <col min="15876" max="15876" width="17.44140625" style="15" customWidth="1"/>
    <col min="15877" max="15883" width="0" style="15" hidden="1" customWidth="1"/>
    <col min="15884" max="15884" width="8.88671875" style="15"/>
    <col min="15885" max="15885" width="0" style="15" hidden="1" customWidth="1"/>
    <col min="15886" max="16127" width="8.88671875" style="15"/>
    <col min="16128" max="16128" width="9.88671875" style="15" customWidth="1"/>
    <col min="16129" max="16129" width="58.44140625" style="15" customWidth="1"/>
    <col min="16130" max="16130" width="17" style="15" customWidth="1"/>
    <col min="16131" max="16131" width="18" style="15" customWidth="1"/>
    <col min="16132" max="16132" width="17.44140625" style="15" customWidth="1"/>
    <col min="16133" max="16139" width="0" style="15" hidden="1" customWidth="1"/>
    <col min="16140" max="16140" width="8.88671875" style="15"/>
    <col min="16141" max="16141" width="0" style="15" hidden="1" customWidth="1"/>
    <col min="16142" max="16384" width="8.88671875" style="15"/>
  </cols>
  <sheetData>
    <row r="1" spans="1:14" s="159" customFormat="1" ht="15.6" x14ac:dyDescent="0.3">
      <c r="A1" s="1"/>
      <c r="B1" s="1299" t="s">
        <v>254</v>
      </c>
      <c r="C1" s="1299"/>
      <c r="D1" s="1299"/>
      <c r="E1" s="1299"/>
      <c r="F1" s="1299"/>
    </row>
    <row r="2" spans="1:14" s="159" customFormat="1" ht="15.6" x14ac:dyDescent="0.3">
      <c r="A2" s="1"/>
      <c r="B2" s="1300" t="s">
        <v>847</v>
      </c>
      <c r="C2" s="1300"/>
      <c r="D2" s="1300"/>
      <c r="E2" s="1300"/>
      <c r="F2" s="1300"/>
    </row>
    <row r="3" spans="1:14" s="159" customFormat="1" ht="15.6" x14ac:dyDescent="0.3">
      <c r="A3" s="1"/>
      <c r="B3" s="1300" t="s">
        <v>1104</v>
      </c>
      <c r="C3" s="1300"/>
      <c r="D3" s="1300"/>
      <c r="E3" s="1300"/>
      <c r="F3" s="1300"/>
    </row>
    <row r="4" spans="1:14" s="159" customFormat="1" ht="15.6" x14ac:dyDescent="0.3">
      <c r="A4" s="1"/>
      <c r="B4" s="1301" t="s">
        <v>1464</v>
      </c>
      <c r="C4" s="1301"/>
      <c r="D4" s="1301"/>
      <c r="E4" s="1301"/>
      <c r="F4" s="1301"/>
    </row>
    <row r="5" spans="1:14" s="159" customFormat="1" ht="25.95" customHeight="1" x14ac:dyDescent="0.2">
      <c r="A5" s="1297" t="s">
        <v>255</v>
      </c>
      <c r="B5" s="1297"/>
      <c r="C5" s="1297"/>
      <c r="D5" s="1297"/>
      <c r="E5" s="1297"/>
      <c r="F5" s="160"/>
    </row>
    <row r="6" spans="1:14" s="159" customFormat="1" ht="17.25" customHeight="1" x14ac:dyDescent="0.2">
      <c r="A6" s="1298" t="s">
        <v>1083</v>
      </c>
      <c r="B6" s="1298"/>
      <c r="C6" s="1298"/>
      <c r="D6" s="1298"/>
      <c r="E6" s="1298"/>
      <c r="F6" s="160"/>
    </row>
    <row r="7" spans="1:14" s="159" customFormat="1" ht="21" customHeight="1" x14ac:dyDescent="0.2">
      <c r="A7" s="6"/>
      <c r="B7" s="161">
        <v>1150300000</v>
      </c>
      <c r="C7" s="162"/>
      <c r="D7" s="162"/>
      <c r="E7" s="162"/>
      <c r="F7" s="160"/>
    </row>
    <row r="8" spans="1:14" s="159" customFormat="1" ht="15" customHeight="1" thickBot="1" x14ac:dyDescent="0.25">
      <c r="A8" s="6"/>
      <c r="B8" s="163" t="s">
        <v>252</v>
      </c>
      <c r="C8" s="162"/>
      <c r="D8" s="162"/>
      <c r="E8" s="162"/>
      <c r="F8" s="160" t="s">
        <v>614</v>
      </c>
    </row>
    <row r="9" spans="1:14" s="159" customFormat="1" ht="15" customHeight="1" thickBot="1" x14ac:dyDescent="0.25">
      <c r="A9" s="1287" t="s">
        <v>256</v>
      </c>
      <c r="B9" s="1289" t="s">
        <v>257</v>
      </c>
      <c r="C9" s="1291" t="s">
        <v>246</v>
      </c>
      <c r="D9" s="1293" t="s">
        <v>245</v>
      </c>
      <c r="E9" s="1295" t="s">
        <v>244</v>
      </c>
      <c r="F9" s="1296"/>
    </row>
    <row r="10" spans="1:14" s="159" customFormat="1" ht="61.95" customHeight="1" thickBot="1" x14ac:dyDescent="0.25">
      <c r="A10" s="1288"/>
      <c r="B10" s="1290"/>
      <c r="C10" s="1292"/>
      <c r="D10" s="1294"/>
      <c r="E10" s="143" t="s">
        <v>243</v>
      </c>
      <c r="F10" s="219" t="s">
        <v>242</v>
      </c>
    </row>
    <row r="11" spans="1:14" s="159" customFormat="1" ht="10.8" thickBot="1" x14ac:dyDescent="0.25">
      <c r="A11" s="164">
        <v>1</v>
      </c>
      <c r="B11" s="165">
        <v>2</v>
      </c>
      <c r="C11" s="166">
        <v>3</v>
      </c>
      <c r="D11" s="166">
        <v>4</v>
      </c>
      <c r="E11" s="166">
        <v>5</v>
      </c>
      <c r="F11" s="220">
        <v>6</v>
      </c>
      <c r="N11" s="167"/>
    </row>
    <row r="12" spans="1:14" s="9" customFormat="1" ht="14.4" thickBot="1" x14ac:dyDescent="0.3">
      <c r="A12" s="807" t="s">
        <v>258</v>
      </c>
      <c r="B12" s="797" t="s">
        <v>259</v>
      </c>
      <c r="C12" s="1143">
        <f>D12+E12</f>
        <v>178580897</v>
      </c>
      <c r="D12" s="1143">
        <f>D13+D26+D34+D21</f>
        <v>178500897</v>
      </c>
      <c r="E12" s="1143">
        <f>E53</f>
        <v>80000</v>
      </c>
      <c r="F12" s="1238">
        <f>F53</f>
        <v>0</v>
      </c>
      <c r="G12" s="8"/>
    </row>
    <row r="13" spans="1:14" s="9" customFormat="1" ht="14.25" customHeight="1" x14ac:dyDescent="0.25">
      <c r="A13" s="806" t="s">
        <v>260</v>
      </c>
      <c r="B13" s="805" t="s">
        <v>261</v>
      </c>
      <c r="C13" s="1144">
        <f>D13+E13</f>
        <v>92223440</v>
      </c>
      <c r="D13" s="1144">
        <f>D14+D19</f>
        <v>92223440</v>
      </c>
      <c r="E13" s="1144">
        <f>E14</f>
        <v>0</v>
      </c>
      <c r="F13" s="1239">
        <f>F14</f>
        <v>0</v>
      </c>
    </row>
    <row r="14" spans="1:14" s="9" customFormat="1" ht="13.8" x14ac:dyDescent="0.25">
      <c r="A14" s="804" t="s">
        <v>262</v>
      </c>
      <c r="B14" s="802" t="s">
        <v>263</v>
      </c>
      <c r="C14" s="1145">
        <f>C15+C16+C17+C18</f>
        <v>92076840</v>
      </c>
      <c r="D14" s="1145">
        <f>D15+D16+D17+D18</f>
        <v>92076840</v>
      </c>
      <c r="E14" s="1145">
        <f>E15+E16+E17+E18</f>
        <v>0</v>
      </c>
      <c r="F14" s="1240">
        <f>F15+F17+F18</f>
        <v>0</v>
      </c>
      <c r="L14" s="12"/>
    </row>
    <row r="15" spans="1:14" ht="33" customHeight="1" x14ac:dyDescent="0.25">
      <c r="A15" s="801" t="s">
        <v>264</v>
      </c>
      <c r="B15" s="800" t="s">
        <v>265</v>
      </c>
      <c r="C15" s="1146">
        <f t="shared" ref="C15:C25" si="0">D15+E15</f>
        <v>70491939</v>
      </c>
      <c r="D15" s="1147">
        <f>67301000+500000+168079+1108300+634560+780000</f>
        <v>70491939</v>
      </c>
      <c r="E15" s="1146">
        <v>0</v>
      </c>
      <c r="F15" s="1241">
        <v>0</v>
      </c>
      <c r="L15" s="16"/>
    </row>
    <row r="16" spans="1:14" ht="79.5" customHeight="1" x14ac:dyDescent="0.25">
      <c r="A16" s="801" t="s">
        <v>268</v>
      </c>
      <c r="B16" s="800" t="s">
        <v>269</v>
      </c>
      <c r="C16" s="1146">
        <f t="shared" si="0"/>
        <v>18537401</v>
      </c>
      <c r="D16" s="1184">
        <f>16219700+645090+1232611+300000+140000</f>
        <v>18537401</v>
      </c>
      <c r="E16" s="1146">
        <v>0</v>
      </c>
      <c r="F16" s="1241">
        <v>0</v>
      </c>
      <c r="L16" s="16"/>
    </row>
    <row r="17" spans="1:12" ht="33.75" customHeight="1" x14ac:dyDescent="0.25">
      <c r="A17" s="801" t="s">
        <v>270</v>
      </c>
      <c r="B17" s="800" t="s">
        <v>271</v>
      </c>
      <c r="C17" s="1146">
        <f t="shared" si="0"/>
        <v>1281300</v>
      </c>
      <c r="D17" s="1146">
        <v>1281300</v>
      </c>
      <c r="E17" s="1146">
        <v>0</v>
      </c>
      <c r="F17" s="1241">
        <v>0</v>
      </c>
      <c r="L17" s="16"/>
    </row>
    <row r="18" spans="1:12" ht="34.5" customHeight="1" x14ac:dyDescent="0.25">
      <c r="A18" s="801">
        <v>11011300</v>
      </c>
      <c r="B18" s="800" t="s">
        <v>615</v>
      </c>
      <c r="C18" s="1146">
        <f t="shared" si="0"/>
        <v>1766200</v>
      </c>
      <c r="D18" s="1146">
        <v>1766200</v>
      </c>
      <c r="E18" s="1146">
        <v>0</v>
      </c>
      <c r="F18" s="1241">
        <v>0</v>
      </c>
      <c r="L18" s="16"/>
    </row>
    <row r="19" spans="1:12" ht="22.8" customHeight="1" x14ac:dyDescent="0.25">
      <c r="A19" s="804">
        <v>11020000</v>
      </c>
      <c r="B19" s="802" t="s">
        <v>272</v>
      </c>
      <c r="C19" s="1145">
        <f t="shared" si="0"/>
        <v>146600</v>
      </c>
      <c r="D19" s="1145">
        <f>D20</f>
        <v>146600</v>
      </c>
      <c r="E19" s="1145">
        <v>0</v>
      </c>
      <c r="F19" s="1240">
        <v>0</v>
      </c>
      <c r="L19" s="16"/>
    </row>
    <row r="20" spans="1:12" s="9" customFormat="1" ht="20.25" customHeight="1" x14ac:dyDescent="0.25">
      <c r="A20" s="801">
        <v>11020200</v>
      </c>
      <c r="B20" s="800" t="s">
        <v>273</v>
      </c>
      <c r="C20" s="1146">
        <f t="shared" si="0"/>
        <v>146600</v>
      </c>
      <c r="D20" s="1146">
        <v>146600</v>
      </c>
      <c r="E20" s="1146">
        <v>0</v>
      </c>
      <c r="F20" s="1241">
        <v>0</v>
      </c>
      <c r="L20" s="16"/>
    </row>
    <row r="21" spans="1:12" ht="22.5" customHeight="1" x14ac:dyDescent="0.25">
      <c r="A21" s="804">
        <v>13000000</v>
      </c>
      <c r="B21" s="802" t="s">
        <v>274</v>
      </c>
      <c r="C21" s="1145">
        <f t="shared" si="0"/>
        <v>71200</v>
      </c>
      <c r="D21" s="1145">
        <f>D22+D24</f>
        <v>71200</v>
      </c>
      <c r="E21" s="1145">
        <v>0</v>
      </c>
      <c r="F21" s="1240">
        <v>0</v>
      </c>
      <c r="L21" s="16"/>
    </row>
    <row r="22" spans="1:12" s="9" customFormat="1" ht="19.5" customHeight="1" x14ac:dyDescent="0.25">
      <c r="A22" s="804">
        <v>13010000</v>
      </c>
      <c r="B22" s="802" t="s">
        <v>275</v>
      </c>
      <c r="C22" s="1145">
        <f t="shared" si="0"/>
        <v>16100</v>
      </c>
      <c r="D22" s="1145">
        <f>D23</f>
        <v>16100</v>
      </c>
      <c r="E22" s="1145">
        <v>0</v>
      </c>
      <c r="F22" s="1240">
        <v>0</v>
      </c>
      <c r="L22" s="16"/>
    </row>
    <row r="23" spans="1:12" s="9" customFormat="1" ht="32.4" customHeight="1" x14ac:dyDescent="0.25">
      <c r="A23" s="801">
        <v>13010200</v>
      </c>
      <c r="B23" s="800" t="s">
        <v>276</v>
      </c>
      <c r="C23" s="1146">
        <f t="shared" si="0"/>
        <v>16100</v>
      </c>
      <c r="D23" s="1146">
        <v>16100</v>
      </c>
      <c r="E23" s="1146">
        <v>0</v>
      </c>
      <c r="F23" s="1241">
        <v>0</v>
      </c>
      <c r="L23" s="16"/>
    </row>
    <row r="24" spans="1:12" ht="30" customHeight="1" x14ac:dyDescent="0.25">
      <c r="A24" s="804">
        <v>13030000</v>
      </c>
      <c r="B24" s="802" t="s">
        <v>277</v>
      </c>
      <c r="C24" s="1145">
        <f t="shared" si="0"/>
        <v>55100</v>
      </c>
      <c r="D24" s="1145">
        <f>D25</f>
        <v>55100</v>
      </c>
      <c r="E24" s="1145">
        <v>0</v>
      </c>
      <c r="F24" s="1240">
        <v>0</v>
      </c>
      <c r="L24" s="16"/>
    </row>
    <row r="25" spans="1:12" s="9" customFormat="1" ht="33" customHeight="1" x14ac:dyDescent="0.25">
      <c r="A25" s="801">
        <v>13030100</v>
      </c>
      <c r="B25" s="800" t="s">
        <v>278</v>
      </c>
      <c r="C25" s="1146">
        <f t="shared" si="0"/>
        <v>55100</v>
      </c>
      <c r="D25" s="1146">
        <v>55100</v>
      </c>
      <c r="E25" s="1146">
        <v>0</v>
      </c>
      <c r="F25" s="1241">
        <v>0</v>
      </c>
      <c r="L25" s="16"/>
    </row>
    <row r="26" spans="1:12" ht="26.4" customHeight="1" x14ac:dyDescent="0.25">
      <c r="A26" s="804" t="s">
        <v>279</v>
      </c>
      <c r="B26" s="802" t="s">
        <v>280</v>
      </c>
      <c r="C26" s="1145">
        <f>C27+C29+C31</f>
        <v>11821800</v>
      </c>
      <c r="D26" s="1145">
        <f>D27+D29+D31</f>
        <v>11821800</v>
      </c>
      <c r="E26" s="1145">
        <f>E27+E29+E31</f>
        <v>0</v>
      </c>
      <c r="F26" s="1240">
        <v>0</v>
      </c>
      <c r="L26" s="16"/>
    </row>
    <row r="27" spans="1:12" s="9" customFormat="1" ht="13.8" x14ac:dyDescent="0.25">
      <c r="A27" s="804" t="s">
        <v>281</v>
      </c>
      <c r="B27" s="802" t="s">
        <v>282</v>
      </c>
      <c r="C27" s="1145">
        <f t="shared" ref="C27:C52" si="1">D27+E27</f>
        <v>856900</v>
      </c>
      <c r="D27" s="1145">
        <f>D28</f>
        <v>856900</v>
      </c>
      <c r="E27" s="1145">
        <f>E28</f>
        <v>0</v>
      </c>
      <c r="F27" s="1240">
        <v>0</v>
      </c>
      <c r="L27" s="16"/>
    </row>
    <row r="28" spans="1:12" s="9" customFormat="1" ht="19.5" customHeight="1" x14ac:dyDescent="0.25">
      <c r="A28" s="801" t="s">
        <v>283</v>
      </c>
      <c r="B28" s="800" t="s">
        <v>284</v>
      </c>
      <c r="C28" s="1146">
        <f t="shared" si="1"/>
        <v>856900</v>
      </c>
      <c r="D28" s="1146">
        <v>856900</v>
      </c>
      <c r="E28" s="1146">
        <v>0</v>
      </c>
      <c r="F28" s="1241">
        <v>0</v>
      </c>
      <c r="L28" s="16"/>
    </row>
    <row r="29" spans="1:12" ht="21.75" customHeight="1" x14ac:dyDescent="0.25">
      <c r="A29" s="804" t="s">
        <v>285</v>
      </c>
      <c r="B29" s="802" t="s">
        <v>286</v>
      </c>
      <c r="C29" s="1145">
        <f t="shared" si="1"/>
        <v>3910000</v>
      </c>
      <c r="D29" s="1145">
        <f>D30</f>
        <v>3910000</v>
      </c>
      <c r="E29" s="1145">
        <f>E30</f>
        <v>0</v>
      </c>
      <c r="F29" s="1240">
        <v>0</v>
      </c>
      <c r="L29" s="16"/>
    </row>
    <row r="30" spans="1:12" s="9" customFormat="1" ht="28.8" customHeight="1" x14ac:dyDescent="0.25">
      <c r="A30" s="801" t="s">
        <v>287</v>
      </c>
      <c r="B30" s="800" t="s">
        <v>284</v>
      </c>
      <c r="C30" s="1146">
        <f t="shared" si="1"/>
        <v>3910000</v>
      </c>
      <c r="D30" s="1146">
        <v>3910000</v>
      </c>
      <c r="E30" s="1146">
        <v>0</v>
      </c>
      <c r="F30" s="1241">
        <v>0</v>
      </c>
      <c r="L30" s="16"/>
    </row>
    <row r="31" spans="1:12" ht="21" customHeight="1" x14ac:dyDescent="0.25">
      <c r="A31" s="801" t="s">
        <v>288</v>
      </c>
      <c r="B31" s="802" t="s">
        <v>597</v>
      </c>
      <c r="C31" s="1145">
        <f t="shared" si="1"/>
        <v>7054900</v>
      </c>
      <c r="D31" s="1145">
        <f>D32+D33</f>
        <v>7054900</v>
      </c>
      <c r="E31" s="1145">
        <f>E32+E33</f>
        <v>0</v>
      </c>
      <c r="F31" s="1240">
        <f>F32+F33</f>
        <v>0</v>
      </c>
      <c r="L31" s="16"/>
    </row>
    <row r="32" spans="1:12" ht="46.2" customHeight="1" x14ac:dyDescent="0.25">
      <c r="A32" s="801" t="s">
        <v>593</v>
      </c>
      <c r="B32" s="800" t="s">
        <v>594</v>
      </c>
      <c r="C32" s="1146">
        <f t="shared" si="1"/>
        <v>3872400</v>
      </c>
      <c r="D32" s="1146">
        <f>3395100+227300+250000</f>
        <v>3872400</v>
      </c>
      <c r="E32" s="1146">
        <v>0</v>
      </c>
      <c r="F32" s="1241">
        <v>0</v>
      </c>
      <c r="L32" s="16"/>
    </row>
    <row r="33" spans="1:12" ht="51.75" customHeight="1" x14ac:dyDescent="0.25">
      <c r="A33" s="801" t="s">
        <v>595</v>
      </c>
      <c r="B33" s="800" t="s">
        <v>596</v>
      </c>
      <c r="C33" s="1146">
        <f t="shared" si="1"/>
        <v>3182500</v>
      </c>
      <c r="D33" s="1146">
        <f>3042500+140000</f>
        <v>3182500</v>
      </c>
      <c r="E33" s="1146">
        <v>0</v>
      </c>
      <c r="F33" s="1241">
        <v>0</v>
      </c>
      <c r="L33" s="16"/>
    </row>
    <row r="34" spans="1:12" ht="40.5" customHeight="1" x14ac:dyDescent="0.25">
      <c r="A34" s="804" t="s">
        <v>289</v>
      </c>
      <c r="B34" s="802" t="s">
        <v>290</v>
      </c>
      <c r="C34" s="1145">
        <f t="shared" si="1"/>
        <v>74384457</v>
      </c>
      <c r="D34" s="1145">
        <f>D35+D49+D46</f>
        <v>74384457</v>
      </c>
      <c r="E34" s="1145">
        <f>E35+E49</f>
        <v>0</v>
      </c>
      <c r="F34" s="1240">
        <v>0</v>
      </c>
      <c r="L34" s="16"/>
    </row>
    <row r="35" spans="1:12" s="9" customFormat="1" ht="18" customHeight="1" x14ac:dyDescent="0.25">
      <c r="A35" s="804" t="s">
        <v>291</v>
      </c>
      <c r="B35" s="802" t="s">
        <v>292</v>
      </c>
      <c r="C35" s="1145">
        <f t="shared" si="1"/>
        <v>40117387</v>
      </c>
      <c r="D35" s="1145">
        <f>D36+D37+D38+D39+D40+D41+D42+D43+D44+D45</f>
        <v>40117387</v>
      </c>
      <c r="E35" s="1145">
        <f>E36+E37+E38+E39+E40+E41+E42+E43+E44+E45</f>
        <v>0</v>
      </c>
      <c r="F35" s="1240">
        <v>0</v>
      </c>
      <c r="L35" s="16"/>
    </row>
    <row r="36" spans="1:12" s="9" customFormat="1" ht="37.200000000000003" customHeight="1" x14ac:dyDescent="0.25">
      <c r="A36" s="801" t="s">
        <v>293</v>
      </c>
      <c r="B36" s="800" t="s">
        <v>294</v>
      </c>
      <c r="C36" s="1146">
        <f t="shared" si="1"/>
        <v>32700</v>
      </c>
      <c r="D36" s="1146">
        <v>32700</v>
      </c>
      <c r="E36" s="1146">
        <v>0</v>
      </c>
      <c r="F36" s="1241">
        <v>0</v>
      </c>
      <c r="L36" s="16"/>
    </row>
    <row r="37" spans="1:12" ht="36.75" customHeight="1" x14ac:dyDescent="0.25">
      <c r="A37" s="801" t="s">
        <v>295</v>
      </c>
      <c r="B37" s="800" t="s">
        <v>296</v>
      </c>
      <c r="C37" s="1146">
        <f t="shared" si="1"/>
        <v>461700</v>
      </c>
      <c r="D37" s="1146">
        <v>461700</v>
      </c>
      <c r="E37" s="1146">
        <v>0</v>
      </c>
      <c r="F37" s="1241">
        <v>0</v>
      </c>
      <c r="L37" s="16"/>
    </row>
    <row r="38" spans="1:12" ht="32.25" customHeight="1" x14ac:dyDescent="0.25">
      <c r="A38" s="801" t="s">
        <v>297</v>
      </c>
      <c r="B38" s="800" t="s">
        <v>298</v>
      </c>
      <c r="C38" s="1146">
        <f t="shared" si="1"/>
        <v>767100</v>
      </c>
      <c r="D38" s="1146">
        <v>767100</v>
      </c>
      <c r="E38" s="1146">
        <v>0</v>
      </c>
      <c r="F38" s="1241">
        <v>0</v>
      </c>
      <c r="L38" s="16"/>
    </row>
    <row r="39" spans="1:12" ht="36" customHeight="1" x14ac:dyDescent="0.25">
      <c r="A39" s="801" t="s">
        <v>299</v>
      </c>
      <c r="B39" s="800" t="s">
        <v>300</v>
      </c>
      <c r="C39" s="1146">
        <f t="shared" si="1"/>
        <v>2227100</v>
      </c>
      <c r="D39" s="1146">
        <v>2227100</v>
      </c>
      <c r="E39" s="1146">
        <v>0</v>
      </c>
      <c r="F39" s="1241">
        <v>0</v>
      </c>
      <c r="L39" s="16"/>
    </row>
    <row r="40" spans="1:12" ht="30" customHeight="1" x14ac:dyDescent="0.25">
      <c r="A40" s="801" t="s">
        <v>301</v>
      </c>
      <c r="B40" s="800" t="s">
        <v>302</v>
      </c>
      <c r="C40" s="1146">
        <f t="shared" si="1"/>
        <v>3196500</v>
      </c>
      <c r="D40" s="1146">
        <v>3196500</v>
      </c>
      <c r="E40" s="1146">
        <v>0</v>
      </c>
      <c r="F40" s="1241">
        <v>0</v>
      </c>
      <c r="L40" s="16"/>
    </row>
    <row r="41" spans="1:12" ht="15" customHeight="1" x14ac:dyDescent="0.25">
      <c r="A41" s="801" t="s">
        <v>303</v>
      </c>
      <c r="B41" s="800" t="s">
        <v>304</v>
      </c>
      <c r="C41" s="1146">
        <f t="shared" si="1"/>
        <v>26706387</v>
      </c>
      <c r="D41" s="1146">
        <f>26050000+146387+510000</f>
        <v>26706387</v>
      </c>
      <c r="E41" s="1146">
        <v>0</v>
      </c>
      <c r="F41" s="1241">
        <v>0</v>
      </c>
      <c r="L41" s="16"/>
    </row>
    <row r="42" spans="1:12" ht="15.75" customHeight="1" x14ac:dyDescent="0.25">
      <c r="A42" s="801" t="s">
        <v>305</v>
      </c>
      <c r="B42" s="800" t="s">
        <v>306</v>
      </c>
      <c r="C42" s="1146">
        <f t="shared" si="1"/>
        <v>1858000</v>
      </c>
      <c r="D42" s="1146">
        <v>1858000</v>
      </c>
      <c r="E42" s="1146">
        <v>0</v>
      </c>
      <c r="F42" s="1241">
        <v>0</v>
      </c>
      <c r="L42" s="16"/>
    </row>
    <row r="43" spans="1:12" ht="18.75" customHeight="1" x14ac:dyDescent="0.25">
      <c r="A43" s="801" t="s">
        <v>307</v>
      </c>
      <c r="B43" s="800" t="s">
        <v>308</v>
      </c>
      <c r="C43" s="1146">
        <f t="shared" si="1"/>
        <v>4779100</v>
      </c>
      <c r="D43" s="1146">
        <v>4779100</v>
      </c>
      <c r="E43" s="1146">
        <v>0</v>
      </c>
      <c r="F43" s="1241">
        <v>0</v>
      </c>
      <c r="L43" s="16"/>
    </row>
    <row r="44" spans="1:12" ht="16.5" customHeight="1" x14ac:dyDescent="0.25">
      <c r="A44" s="801" t="s">
        <v>309</v>
      </c>
      <c r="B44" s="800" t="s">
        <v>310</v>
      </c>
      <c r="C44" s="1146">
        <f t="shared" si="1"/>
        <v>20200</v>
      </c>
      <c r="D44" s="1146">
        <v>20200</v>
      </c>
      <c r="E44" s="1146">
        <v>0</v>
      </c>
      <c r="F44" s="1241">
        <v>0</v>
      </c>
      <c r="L44" s="16"/>
    </row>
    <row r="45" spans="1:12" ht="17.25" customHeight="1" x14ac:dyDescent="0.25">
      <c r="A45" s="801" t="s">
        <v>311</v>
      </c>
      <c r="B45" s="800" t="s">
        <v>312</v>
      </c>
      <c r="C45" s="1146">
        <f t="shared" si="1"/>
        <v>68600</v>
      </c>
      <c r="D45" s="1146">
        <v>68600</v>
      </c>
      <c r="E45" s="1146">
        <v>0</v>
      </c>
      <c r="F45" s="1241">
        <v>0</v>
      </c>
      <c r="L45" s="16"/>
    </row>
    <row r="46" spans="1:12" ht="14.25" customHeight="1" x14ac:dyDescent="0.25">
      <c r="A46" s="804" t="s">
        <v>616</v>
      </c>
      <c r="B46" s="802" t="s">
        <v>617</v>
      </c>
      <c r="C46" s="1145">
        <f t="shared" si="1"/>
        <v>89000</v>
      </c>
      <c r="D46" s="1145">
        <f>D47+D48</f>
        <v>89000</v>
      </c>
      <c r="E46" s="1145">
        <v>0</v>
      </c>
      <c r="F46" s="1240">
        <v>0</v>
      </c>
      <c r="L46" s="16"/>
    </row>
    <row r="47" spans="1:12" ht="20.25" customHeight="1" x14ac:dyDescent="0.25">
      <c r="A47" s="801" t="s">
        <v>618</v>
      </c>
      <c r="B47" s="800" t="s">
        <v>619</v>
      </c>
      <c r="C47" s="1146">
        <f t="shared" si="1"/>
        <v>9800</v>
      </c>
      <c r="D47" s="1146">
        <v>9800</v>
      </c>
      <c r="E47" s="1146">
        <v>0</v>
      </c>
      <c r="F47" s="1241">
        <v>0</v>
      </c>
      <c r="L47" s="16"/>
    </row>
    <row r="48" spans="1:12" ht="18" customHeight="1" x14ac:dyDescent="0.25">
      <c r="A48" s="801" t="s">
        <v>620</v>
      </c>
      <c r="B48" s="800" t="s">
        <v>621</v>
      </c>
      <c r="C48" s="1146">
        <f t="shared" si="1"/>
        <v>79200</v>
      </c>
      <c r="D48" s="1146">
        <v>79200</v>
      </c>
      <c r="E48" s="1146">
        <v>0</v>
      </c>
      <c r="F48" s="1241">
        <v>0</v>
      </c>
      <c r="L48" s="16"/>
    </row>
    <row r="49" spans="1:14" ht="21" customHeight="1" x14ac:dyDescent="0.25">
      <c r="A49" s="804" t="s">
        <v>313</v>
      </c>
      <c r="B49" s="802" t="s">
        <v>314</v>
      </c>
      <c r="C49" s="1145">
        <f t="shared" si="1"/>
        <v>34178070</v>
      </c>
      <c r="D49" s="1145">
        <f>D50+D51+D52</f>
        <v>34178070</v>
      </c>
      <c r="E49" s="1145">
        <f>E50+E51+E52</f>
        <v>0</v>
      </c>
      <c r="F49" s="1240">
        <v>0</v>
      </c>
      <c r="L49" s="16"/>
    </row>
    <row r="50" spans="1:14" s="9" customFormat="1" ht="18.75" customHeight="1" x14ac:dyDescent="0.25">
      <c r="A50" s="801" t="s">
        <v>315</v>
      </c>
      <c r="B50" s="800" t="s">
        <v>316</v>
      </c>
      <c r="C50" s="1146">
        <f t="shared" si="1"/>
        <v>869800</v>
      </c>
      <c r="D50" s="1146">
        <v>869800</v>
      </c>
      <c r="E50" s="1146">
        <v>0</v>
      </c>
      <c r="F50" s="1241">
        <v>0</v>
      </c>
      <c r="L50" s="16"/>
    </row>
    <row r="51" spans="1:14" ht="21" customHeight="1" x14ac:dyDescent="0.25">
      <c r="A51" s="801" t="s">
        <v>317</v>
      </c>
      <c r="B51" s="800" t="s">
        <v>318</v>
      </c>
      <c r="C51" s="1146">
        <f t="shared" si="1"/>
        <v>20572970</v>
      </c>
      <c r="D51" s="1147">
        <f>16079900+2470070+1113000+430000+480000</f>
        <v>20572970</v>
      </c>
      <c r="E51" s="1146">
        <v>0</v>
      </c>
      <c r="F51" s="1241">
        <v>0</v>
      </c>
      <c r="L51" s="16"/>
    </row>
    <row r="52" spans="1:14" ht="36.6" customHeight="1" x14ac:dyDescent="0.25">
      <c r="A52" s="801" t="s">
        <v>319</v>
      </c>
      <c r="B52" s="800" t="s">
        <v>320</v>
      </c>
      <c r="C52" s="1146">
        <f t="shared" si="1"/>
        <v>12735300</v>
      </c>
      <c r="D52" s="1146">
        <v>12735300</v>
      </c>
      <c r="E52" s="1146">
        <v>0</v>
      </c>
      <c r="F52" s="1241">
        <v>0</v>
      </c>
      <c r="L52" s="16"/>
    </row>
    <row r="53" spans="1:14" ht="22.8" customHeight="1" x14ac:dyDescent="0.25">
      <c r="A53" s="804" t="s">
        <v>321</v>
      </c>
      <c r="B53" s="802" t="s">
        <v>322</v>
      </c>
      <c r="C53" s="1145">
        <f>E53</f>
        <v>80000</v>
      </c>
      <c r="D53" s="1145">
        <f>D54</f>
        <v>0</v>
      </c>
      <c r="E53" s="1145">
        <f>E54</f>
        <v>80000</v>
      </c>
      <c r="F53" s="1240">
        <v>0</v>
      </c>
      <c r="L53" s="16"/>
    </row>
    <row r="54" spans="1:14" s="9" customFormat="1" ht="21" customHeight="1" x14ac:dyDescent="0.25">
      <c r="A54" s="804" t="s">
        <v>323</v>
      </c>
      <c r="B54" s="802" t="s">
        <v>324</v>
      </c>
      <c r="C54" s="1145">
        <f>D54+E54</f>
        <v>80000</v>
      </c>
      <c r="D54" s="1145">
        <f>D55+D56+D57</f>
        <v>0</v>
      </c>
      <c r="E54" s="1145">
        <f>E55+E56+E57</f>
        <v>80000</v>
      </c>
      <c r="F54" s="1240">
        <v>0</v>
      </c>
      <c r="L54" s="16"/>
    </row>
    <row r="55" spans="1:14" s="9" customFormat="1" ht="31.2" customHeight="1" x14ac:dyDescent="0.25">
      <c r="A55" s="801" t="s">
        <v>325</v>
      </c>
      <c r="B55" s="800" t="s">
        <v>326</v>
      </c>
      <c r="C55" s="1146">
        <f>D55+E55</f>
        <v>47400</v>
      </c>
      <c r="D55" s="1146">
        <v>0</v>
      </c>
      <c r="E55" s="1146">
        <v>47400</v>
      </c>
      <c r="F55" s="1241">
        <v>0</v>
      </c>
      <c r="L55" s="16"/>
    </row>
    <row r="56" spans="1:14" ht="25.2" customHeight="1" x14ac:dyDescent="0.25">
      <c r="A56" s="801" t="s">
        <v>327</v>
      </c>
      <c r="B56" s="800" t="s">
        <v>328</v>
      </c>
      <c r="C56" s="1146">
        <f>D56+E56</f>
        <v>5600</v>
      </c>
      <c r="D56" s="1146">
        <v>0</v>
      </c>
      <c r="E56" s="1146">
        <v>5600</v>
      </c>
      <c r="F56" s="1241">
        <v>0</v>
      </c>
      <c r="L56" s="16"/>
    </row>
    <row r="57" spans="1:14" ht="33.6" customHeight="1" thickBot="1" x14ac:dyDescent="0.3">
      <c r="A57" s="803" t="s">
        <v>329</v>
      </c>
      <c r="B57" s="808" t="s">
        <v>330</v>
      </c>
      <c r="C57" s="1148">
        <f>D57+E57</f>
        <v>27000</v>
      </c>
      <c r="D57" s="1148">
        <v>0</v>
      </c>
      <c r="E57" s="1148">
        <v>27000</v>
      </c>
      <c r="F57" s="1242">
        <v>0</v>
      </c>
      <c r="L57" s="16"/>
    </row>
    <row r="58" spans="1:14" ht="21.6" customHeight="1" thickBot="1" x14ac:dyDescent="0.3">
      <c r="A58" s="807" t="s">
        <v>331</v>
      </c>
      <c r="B58" s="797" t="s">
        <v>332</v>
      </c>
      <c r="C58" s="1143">
        <f>C59+C64+C73</f>
        <v>3545518</v>
      </c>
      <c r="D58" s="1143">
        <f>D59+D64+D73</f>
        <v>2774500</v>
      </c>
      <c r="E58" s="1143">
        <f>E59+E64+E73</f>
        <v>771018</v>
      </c>
      <c r="F58" s="1238">
        <v>0</v>
      </c>
      <c r="L58" s="16"/>
    </row>
    <row r="59" spans="1:14" s="9" customFormat="1" ht="13.8" x14ac:dyDescent="0.25">
      <c r="A59" s="806" t="s">
        <v>333</v>
      </c>
      <c r="B59" s="805" t="s">
        <v>334</v>
      </c>
      <c r="C59" s="1144">
        <f t="shared" ref="C59:C79" si="2">D59+E59</f>
        <v>822200</v>
      </c>
      <c r="D59" s="1144">
        <f>D60</f>
        <v>822200</v>
      </c>
      <c r="E59" s="1144">
        <f>E60</f>
        <v>0</v>
      </c>
      <c r="F59" s="1239">
        <v>0</v>
      </c>
      <c r="L59" s="16"/>
    </row>
    <row r="60" spans="1:14" s="9" customFormat="1" ht="19.5" customHeight="1" x14ac:dyDescent="0.25">
      <c r="A60" s="804" t="s">
        <v>335</v>
      </c>
      <c r="B60" s="802" t="s">
        <v>336</v>
      </c>
      <c r="C60" s="1145">
        <f t="shared" si="2"/>
        <v>822200</v>
      </c>
      <c r="D60" s="1145">
        <f>D61+D62+D63</f>
        <v>822200</v>
      </c>
      <c r="E60" s="1145">
        <f>E61+E62</f>
        <v>0</v>
      </c>
      <c r="F60" s="1240">
        <v>0</v>
      </c>
      <c r="L60" s="16"/>
    </row>
    <row r="61" spans="1:14" s="9" customFormat="1" ht="19.5" customHeight="1" x14ac:dyDescent="0.25">
      <c r="A61" s="801" t="s">
        <v>337</v>
      </c>
      <c r="B61" s="800" t="s">
        <v>338</v>
      </c>
      <c r="C61" s="1146">
        <f t="shared" si="2"/>
        <v>661800</v>
      </c>
      <c r="D61" s="1146">
        <v>661800</v>
      </c>
      <c r="E61" s="1146">
        <v>0</v>
      </c>
      <c r="F61" s="1241">
        <v>0</v>
      </c>
      <c r="L61" s="16"/>
    </row>
    <row r="62" spans="1:14" ht="48" customHeight="1" x14ac:dyDescent="0.25">
      <c r="A62" s="810" t="s">
        <v>339</v>
      </c>
      <c r="B62" s="809" t="s">
        <v>1082</v>
      </c>
      <c r="C62" s="1146">
        <f t="shared" si="2"/>
        <v>12000</v>
      </c>
      <c r="D62" s="1146">
        <v>12000</v>
      </c>
      <c r="E62" s="1146">
        <v>0</v>
      </c>
      <c r="F62" s="1241">
        <v>0</v>
      </c>
      <c r="L62" s="16"/>
    </row>
    <row r="63" spans="1:14" ht="38.25" customHeight="1" x14ac:dyDescent="0.25">
      <c r="A63" s="801" t="s">
        <v>1041</v>
      </c>
      <c r="B63" s="800" t="s">
        <v>900</v>
      </c>
      <c r="C63" s="1146">
        <f t="shared" si="2"/>
        <v>148400</v>
      </c>
      <c r="D63" s="1146">
        <v>148400</v>
      </c>
      <c r="E63" s="1146"/>
      <c r="F63" s="1241"/>
      <c r="L63" s="16"/>
      <c r="N63" s="18"/>
    </row>
    <row r="64" spans="1:14" s="9" customFormat="1" ht="28.5" customHeight="1" x14ac:dyDescent="0.25">
      <c r="A64" s="804" t="s">
        <v>341</v>
      </c>
      <c r="B64" s="802" t="s">
        <v>342</v>
      </c>
      <c r="C64" s="1145">
        <f t="shared" si="2"/>
        <v>1952300</v>
      </c>
      <c r="D64" s="1145">
        <f>D65+D69+D72</f>
        <v>1952300</v>
      </c>
      <c r="E64" s="1145">
        <f>E65+E69</f>
        <v>0</v>
      </c>
      <c r="F64" s="1240">
        <v>0</v>
      </c>
      <c r="L64" s="16"/>
    </row>
    <row r="65" spans="1:12" s="9" customFormat="1" ht="23.25" customHeight="1" x14ac:dyDescent="0.25">
      <c r="A65" s="804" t="s">
        <v>343</v>
      </c>
      <c r="B65" s="802" t="s">
        <v>344</v>
      </c>
      <c r="C65" s="1145">
        <f t="shared" si="2"/>
        <v>1509700</v>
      </c>
      <c r="D65" s="1145">
        <f>D66+D67+D68</f>
        <v>1509700</v>
      </c>
      <c r="E65" s="1145">
        <f>E66+E67+E68</f>
        <v>0</v>
      </c>
      <c r="F65" s="1240">
        <v>0</v>
      </c>
      <c r="L65" s="16"/>
    </row>
    <row r="66" spans="1:12" ht="33" customHeight="1" x14ac:dyDescent="0.25">
      <c r="A66" s="810" t="s">
        <v>345</v>
      </c>
      <c r="B66" s="809" t="s">
        <v>1081</v>
      </c>
      <c r="C66" s="1146">
        <f t="shared" si="2"/>
        <v>64400</v>
      </c>
      <c r="D66" s="1146">
        <v>64400</v>
      </c>
      <c r="E66" s="1146">
        <v>0</v>
      </c>
      <c r="F66" s="1241">
        <v>0</v>
      </c>
      <c r="L66" s="16"/>
    </row>
    <row r="67" spans="1:12" ht="16.5" customHeight="1" x14ac:dyDescent="0.25">
      <c r="A67" s="801" t="s">
        <v>347</v>
      </c>
      <c r="B67" s="800" t="s">
        <v>348</v>
      </c>
      <c r="C67" s="1146">
        <f t="shared" si="2"/>
        <v>916300</v>
      </c>
      <c r="D67" s="1146">
        <v>916300</v>
      </c>
      <c r="E67" s="1146">
        <v>0</v>
      </c>
      <c r="F67" s="1241">
        <v>0</v>
      </c>
      <c r="L67" s="16"/>
    </row>
    <row r="68" spans="1:12" ht="23.25" customHeight="1" x14ac:dyDescent="0.25">
      <c r="A68" s="801" t="s">
        <v>349</v>
      </c>
      <c r="B68" s="800" t="s">
        <v>350</v>
      </c>
      <c r="C68" s="1146">
        <f t="shared" si="2"/>
        <v>529000</v>
      </c>
      <c r="D68" s="1146">
        <v>529000</v>
      </c>
      <c r="E68" s="1146">
        <v>0</v>
      </c>
      <c r="F68" s="1241">
        <v>0</v>
      </c>
      <c r="L68" s="16"/>
    </row>
    <row r="69" spans="1:12" s="9" customFormat="1" ht="13.8" x14ac:dyDescent="0.25">
      <c r="A69" s="804" t="s">
        <v>351</v>
      </c>
      <c r="B69" s="802" t="s">
        <v>352</v>
      </c>
      <c r="C69" s="1145">
        <f t="shared" si="2"/>
        <v>343700</v>
      </c>
      <c r="D69" s="1145">
        <f>D70+D71</f>
        <v>343700</v>
      </c>
      <c r="E69" s="1145">
        <f>E70+E71</f>
        <v>0</v>
      </c>
      <c r="F69" s="1240">
        <v>0</v>
      </c>
      <c r="L69" s="16"/>
    </row>
    <row r="70" spans="1:12" ht="37.5" customHeight="1" thickBot="1" x14ac:dyDescent="0.3">
      <c r="A70" s="801" t="s">
        <v>353</v>
      </c>
      <c r="B70" s="800" t="s">
        <v>354</v>
      </c>
      <c r="C70" s="1146">
        <f t="shared" si="2"/>
        <v>343700</v>
      </c>
      <c r="D70" s="1146">
        <v>343700</v>
      </c>
      <c r="E70" s="1146">
        <v>0</v>
      </c>
      <c r="F70" s="1241">
        <v>0</v>
      </c>
      <c r="L70" s="16"/>
    </row>
    <row r="71" spans="1:12" ht="37.5" hidden="1" customHeight="1" thickBot="1" x14ac:dyDescent="0.3">
      <c r="A71" s="801" t="s">
        <v>355</v>
      </c>
      <c r="B71" s="800" t="s">
        <v>356</v>
      </c>
      <c r="C71" s="1146">
        <f t="shared" si="2"/>
        <v>0</v>
      </c>
      <c r="D71" s="1146">
        <v>0</v>
      </c>
      <c r="E71" s="1146">
        <v>0</v>
      </c>
      <c r="F71" s="1241">
        <v>0</v>
      </c>
      <c r="L71" s="16"/>
    </row>
    <row r="72" spans="1:12" ht="54" customHeight="1" thickBot="1" x14ac:dyDescent="0.3">
      <c r="A72" s="807" t="s">
        <v>622</v>
      </c>
      <c r="B72" s="797" t="s">
        <v>623</v>
      </c>
      <c r="C72" s="1145">
        <f t="shared" si="2"/>
        <v>98900</v>
      </c>
      <c r="D72" s="1145">
        <v>98900</v>
      </c>
      <c r="E72" s="1145">
        <v>0</v>
      </c>
      <c r="F72" s="1240">
        <v>0</v>
      </c>
      <c r="L72" s="16"/>
    </row>
    <row r="73" spans="1:12" s="9" customFormat="1" ht="20.25" customHeight="1" x14ac:dyDescent="0.25">
      <c r="A73" s="804" t="s">
        <v>357</v>
      </c>
      <c r="B73" s="802" t="s">
        <v>358</v>
      </c>
      <c r="C73" s="1145">
        <f t="shared" si="2"/>
        <v>771018</v>
      </c>
      <c r="D73" s="1145">
        <f>D74</f>
        <v>0</v>
      </c>
      <c r="E73" s="1145">
        <f>E74</f>
        <v>771018</v>
      </c>
      <c r="F73" s="1240">
        <v>0</v>
      </c>
      <c r="L73" s="16"/>
    </row>
    <row r="74" spans="1:12" s="9" customFormat="1" ht="30.6" customHeight="1" x14ac:dyDescent="0.25">
      <c r="A74" s="804" t="s">
        <v>360</v>
      </c>
      <c r="B74" s="802" t="s">
        <v>361</v>
      </c>
      <c r="C74" s="1145">
        <f t="shared" si="2"/>
        <v>771018</v>
      </c>
      <c r="D74" s="1145">
        <f>D75+D76+D77</f>
        <v>0</v>
      </c>
      <c r="E74" s="1145">
        <f>E75+E76+E77</f>
        <v>771018</v>
      </c>
      <c r="F74" s="1240">
        <v>0</v>
      </c>
      <c r="G74" s="15"/>
      <c r="H74" s="15"/>
      <c r="L74" s="16"/>
    </row>
    <row r="75" spans="1:12" ht="22.5" customHeight="1" x14ac:dyDescent="0.25">
      <c r="A75" s="801" t="s">
        <v>362</v>
      </c>
      <c r="B75" s="800" t="s">
        <v>363</v>
      </c>
      <c r="C75" s="1146">
        <f t="shared" si="2"/>
        <v>645692</v>
      </c>
      <c r="D75" s="1146">
        <v>0</v>
      </c>
      <c r="E75" s="1146">
        <v>645692</v>
      </c>
      <c r="F75" s="1243">
        <v>0</v>
      </c>
      <c r="L75" s="16"/>
    </row>
    <row r="76" spans="1:12" ht="36" customHeight="1" x14ac:dyDescent="0.25">
      <c r="A76" s="803" t="s">
        <v>364</v>
      </c>
      <c r="B76" s="808" t="s">
        <v>365</v>
      </c>
      <c r="C76" s="1148">
        <f t="shared" si="2"/>
        <v>63232</v>
      </c>
      <c r="D76" s="1148">
        <v>0</v>
      </c>
      <c r="E76" s="1148">
        <v>63232</v>
      </c>
      <c r="F76" s="1242">
        <v>0</v>
      </c>
      <c r="G76" s="9"/>
      <c r="L76" s="16"/>
    </row>
    <row r="77" spans="1:12" s="9" customFormat="1" ht="17.25" customHeight="1" x14ac:dyDescent="0.25">
      <c r="A77" s="803" t="s">
        <v>1080</v>
      </c>
      <c r="B77" s="808" t="s">
        <v>1079</v>
      </c>
      <c r="C77" s="1148">
        <f t="shared" si="2"/>
        <v>62094</v>
      </c>
      <c r="D77" s="1148">
        <v>0</v>
      </c>
      <c r="E77" s="1148">
        <v>62094</v>
      </c>
      <c r="F77" s="1242"/>
      <c r="L77" s="16"/>
    </row>
    <row r="78" spans="1:12" s="9" customFormat="1" ht="29.25" hidden="1" customHeight="1" x14ac:dyDescent="0.25">
      <c r="A78" s="807" t="s">
        <v>366</v>
      </c>
      <c r="B78" s="797" t="s">
        <v>367</v>
      </c>
      <c r="C78" s="1145">
        <f t="shared" si="2"/>
        <v>100000</v>
      </c>
      <c r="D78" s="1145">
        <f>D79+D82</f>
        <v>0</v>
      </c>
      <c r="E78" s="1145">
        <f>E79+E82</f>
        <v>100000</v>
      </c>
      <c r="F78" s="1240">
        <f>F79+F82</f>
        <v>100000</v>
      </c>
      <c r="L78" s="16"/>
    </row>
    <row r="79" spans="1:12" s="9" customFormat="1" ht="96" hidden="1" customHeight="1" x14ac:dyDescent="0.25">
      <c r="A79" s="806" t="s">
        <v>368</v>
      </c>
      <c r="B79" s="805" t="s">
        <v>369</v>
      </c>
      <c r="C79" s="1150">
        <f t="shared" si="2"/>
        <v>0</v>
      </c>
      <c r="D79" s="1144">
        <f t="shared" ref="D79:F80" si="3">D80</f>
        <v>0</v>
      </c>
      <c r="E79" s="1144">
        <f t="shared" si="3"/>
        <v>0</v>
      </c>
      <c r="F79" s="1239">
        <f t="shared" si="3"/>
        <v>0</v>
      </c>
      <c r="L79" s="16"/>
    </row>
    <row r="80" spans="1:12" ht="87" hidden="1" customHeight="1" x14ac:dyDescent="0.25">
      <c r="A80" s="804" t="s">
        <v>370</v>
      </c>
      <c r="B80" s="802" t="s">
        <v>371</v>
      </c>
      <c r="C80" s="1145">
        <f>C81</f>
        <v>0</v>
      </c>
      <c r="D80" s="1145">
        <f t="shared" si="3"/>
        <v>0</v>
      </c>
      <c r="E80" s="1145">
        <f t="shared" si="3"/>
        <v>0</v>
      </c>
      <c r="F80" s="1240">
        <f t="shared" si="3"/>
        <v>0</v>
      </c>
      <c r="L80" s="16"/>
    </row>
    <row r="81" spans="1:12" s="9" customFormat="1" ht="21.75" hidden="1" customHeight="1" x14ac:dyDescent="0.25">
      <c r="A81" s="801" t="s">
        <v>372</v>
      </c>
      <c r="B81" s="800" t="s">
        <v>373</v>
      </c>
      <c r="C81" s="1146">
        <f>D81+E81</f>
        <v>0</v>
      </c>
      <c r="D81" s="1146">
        <v>0</v>
      </c>
      <c r="E81" s="1146">
        <v>0</v>
      </c>
      <c r="F81" s="1241">
        <v>0</v>
      </c>
      <c r="L81" s="16"/>
    </row>
    <row r="82" spans="1:12" s="9" customFormat="1" ht="17.25" customHeight="1" x14ac:dyDescent="0.25">
      <c r="A82" s="804" t="s">
        <v>374</v>
      </c>
      <c r="B82" s="802" t="s">
        <v>375</v>
      </c>
      <c r="C82" s="1145">
        <f>D82+E82</f>
        <v>100000</v>
      </c>
      <c r="D82" s="1145">
        <f t="shared" ref="D82:F83" si="4">D83</f>
        <v>0</v>
      </c>
      <c r="E82" s="1145">
        <f t="shared" si="4"/>
        <v>100000</v>
      </c>
      <c r="F82" s="1240">
        <f t="shared" si="4"/>
        <v>100000</v>
      </c>
      <c r="L82" s="16"/>
    </row>
    <row r="83" spans="1:12" ht="26.4" customHeight="1" x14ac:dyDescent="0.25">
      <c r="A83" s="804" t="s">
        <v>376</v>
      </c>
      <c r="B83" s="802" t="s">
        <v>377</v>
      </c>
      <c r="C83" s="1145">
        <f>D83+E83</f>
        <v>100000</v>
      </c>
      <c r="D83" s="1145">
        <f t="shared" si="4"/>
        <v>0</v>
      </c>
      <c r="E83" s="1145">
        <f t="shared" si="4"/>
        <v>100000</v>
      </c>
      <c r="F83" s="1240">
        <f t="shared" si="4"/>
        <v>100000</v>
      </c>
      <c r="L83" s="16"/>
    </row>
    <row r="84" spans="1:12" ht="25.8" customHeight="1" x14ac:dyDescent="0.25">
      <c r="A84" s="801" t="s">
        <v>378</v>
      </c>
      <c r="B84" s="800" t="s">
        <v>379</v>
      </c>
      <c r="C84" s="1146">
        <f>D84+E84</f>
        <v>100000</v>
      </c>
      <c r="D84" s="1146">
        <v>0</v>
      </c>
      <c r="E84" s="1149">
        <v>100000</v>
      </c>
      <c r="F84" s="1243">
        <v>100000</v>
      </c>
      <c r="L84" s="16"/>
    </row>
    <row r="85" spans="1:12" s="20" customFormat="1" ht="19.5" customHeight="1" x14ac:dyDescent="0.25">
      <c r="A85" s="803"/>
      <c r="B85" s="799" t="s">
        <v>380</v>
      </c>
      <c r="C85" s="1151">
        <f>C12+C58+C78</f>
        <v>182226415</v>
      </c>
      <c r="D85" s="1145">
        <f>D12+D58+D78</f>
        <v>181275397</v>
      </c>
      <c r="E85" s="1151">
        <f>E12+E58+E78</f>
        <v>951018</v>
      </c>
      <c r="F85" s="1244">
        <f>F12+F58+F78</f>
        <v>100000</v>
      </c>
      <c r="L85" s="16"/>
    </row>
    <row r="86" spans="1:12" s="20" customFormat="1" ht="21" customHeight="1" x14ac:dyDescent="0.25">
      <c r="A86" s="1245" t="s">
        <v>381</v>
      </c>
      <c r="B86" s="802" t="s">
        <v>382</v>
      </c>
      <c r="C86" s="1145">
        <f>C87</f>
        <v>97684349</v>
      </c>
      <c r="D86" s="1156">
        <f>D87</f>
        <v>45424004</v>
      </c>
      <c r="E86" s="1145">
        <f>E87</f>
        <v>52260345</v>
      </c>
      <c r="F86" s="1240">
        <f>F87</f>
        <v>372520</v>
      </c>
      <c r="L86" s="16"/>
    </row>
    <row r="87" spans="1:12" s="20" customFormat="1" ht="21.75" customHeight="1" x14ac:dyDescent="0.25">
      <c r="A87" s="1245" t="s">
        <v>383</v>
      </c>
      <c r="B87" s="802" t="s">
        <v>384</v>
      </c>
      <c r="C87" s="1145">
        <f>C90+C97+C99+C88</f>
        <v>97684349</v>
      </c>
      <c r="D87" s="1156">
        <f>D90+D97+D99+D88</f>
        <v>45424004</v>
      </c>
      <c r="E87" s="1145">
        <f>E90+E97+E99</f>
        <v>52260345</v>
      </c>
      <c r="F87" s="1240">
        <f>F90+F97+F99</f>
        <v>372520</v>
      </c>
      <c r="L87" s="16"/>
    </row>
    <row r="88" spans="1:12" s="20" customFormat="1" ht="26.4" customHeight="1" x14ac:dyDescent="0.25">
      <c r="A88" s="1245">
        <v>41020000</v>
      </c>
      <c r="B88" s="802" t="s">
        <v>385</v>
      </c>
      <c r="C88" s="1145">
        <f>D88+E88</f>
        <v>1106300</v>
      </c>
      <c r="D88" s="1152">
        <f>D89</f>
        <v>1106300</v>
      </c>
      <c r="E88" s="1145"/>
      <c r="F88" s="1240">
        <v>0</v>
      </c>
      <c r="L88" s="16"/>
    </row>
    <row r="89" spans="1:12" s="20" customFormat="1" ht="21.75" customHeight="1" x14ac:dyDescent="0.25">
      <c r="A89" s="801">
        <v>41020100</v>
      </c>
      <c r="B89" s="800" t="s">
        <v>1078</v>
      </c>
      <c r="C89" s="1145">
        <f>D89+E89</f>
        <v>1106300</v>
      </c>
      <c r="D89" s="1146">
        <v>1106300</v>
      </c>
      <c r="E89" s="1145"/>
      <c r="F89" s="1241">
        <v>0</v>
      </c>
      <c r="L89" s="16"/>
    </row>
    <row r="90" spans="1:12" s="20" customFormat="1" ht="26.4" customHeight="1" x14ac:dyDescent="0.25">
      <c r="A90" s="1245" t="s">
        <v>386</v>
      </c>
      <c r="B90" s="802" t="s">
        <v>387</v>
      </c>
      <c r="C90" s="1145">
        <f>C91+C92+C94+C95+C93</f>
        <v>88548725</v>
      </c>
      <c r="D90" s="1145">
        <f>D91+D92+D94+D95+D93</f>
        <v>36660900</v>
      </c>
      <c r="E90" s="1145">
        <f>E91+E92+E94+E95+E93</f>
        <v>51887825</v>
      </c>
      <c r="F90" s="1240">
        <f>F91+F92+F94+F95+F93</f>
        <v>0</v>
      </c>
      <c r="L90" s="16"/>
    </row>
    <row r="91" spans="1:12" s="20" customFormat="1" ht="37.5" customHeight="1" x14ac:dyDescent="0.25">
      <c r="A91" s="801">
        <v>41033100</v>
      </c>
      <c r="B91" s="800" t="s">
        <v>667</v>
      </c>
      <c r="C91" s="1145">
        <f>D91+E91</f>
        <v>51887825</v>
      </c>
      <c r="D91" s="1153">
        <v>0</v>
      </c>
      <c r="E91" s="1146">
        <v>51887825</v>
      </c>
      <c r="F91" s="1241">
        <v>0</v>
      </c>
      <c r="L91" s="16"/>
    </row>
    <row r="92" spans="1:12" s="22" customFormat="1" ht="15.75" customHeight="1" x14ac:dyDescent="0.25">
      <c r="A92" s="803" t="s">
        <v>389</v>
      </c>
      <c r="B92" s="808" t="s">
        <v>390</v>
      </c>
      <c r="C92" s="1154">
        <f>D92+E92</f>
        <v>32669500</v>
      </c>
      <c r="D92" s="1153">
        <v>32669500</v>
      </c>
      <c r="E92" s="1153">
        <v>0</v>
      </c>
      <c r="F92" s="1246">
        <v>0</v>
      </c>
      <c r="G92" s="22">
        <v>8346312</v>
      </c>
      <c r="L92" s="16"/>
    </row>
    <row r="93" spans="1:12" s="22" customFormat="1" ht="26.4" x14ac:dyDescent="0.25">
      <c r="A93" s="1247">
        <v>41035400</v>
      </c>
      <c r="B93" s="1135" t="s">
        <v>1163</v>
      </c>
      <c r="C93" s="1132">
        <f>D93+E93</f>
        <v>188100</v>
      </c>
      <c r="D93" s="791">
        <v>188100</v>
      </c>
      <c r="E93" s="693"/>
      <c r="F93" s="766"/>
      <c r="L93" s="16"/>
    </row>
    <row r="94" spans="1:12" s="22" customFormat="1" ht="26.4" x14ac:dyDescent="0.25">
      <c r="A94" s="1247">
        <v>41036000</v>
      </c>
      <c r="B94" s="1135" t="s">
        <v>1117</v>
      </c>
      <c r="C94" s="1133">
        <f>D94+E94</f>
        <v>1014400</v>
      </c>
      <c r="D94" s="1026">
        <v>1014400</v>
      </c>
      <c r="E94" s="1026"/>
      <c r="F94" s="766"/>
      <c r="L94" s="16"/>
    </row>
    <row r="95" spans="1:12" s="22" customFormat="1" ht="26.4" x14ac:dyDescent="0.25">
      <c r="A95" s="1247">
        <v>41036300</v>
      </c>
      <c r="B95" s="1135" t="s">
        <v>1116</v>
      </c>
      <c r="C95" s="1133">
        <f>D95+E95</f>
        <v>2788900</v>
      </c>
      <c r="D95" s="1026">
        <v>2788900</v>
      </c>
      <c r="E95" s="693"/>
      <c r="F95" s="766"/>
      <c r="L95" s="16"/>
    </row>
    <row r="96" spans="1:12" s="22" customFormat="1" ht="15.75" hidden="1" customHeight="1" x14ac:dyDescent="0.25">
      <c r="A96" s="1248"/>
      <c r="B96" s="1134"/>
      <c r="C96" s="1147"/>
      <c r="D96" s="1153"/>
      <c r="E96" s="1153"/>
      <c r="F96" s="1246"/>
      <c r="L96" s="16"/>
    </row>
    <row r="97" spans="1:13" s="22" customFormat="1" ht="13.8" x14ac:dyDescent="0.25">
      <c r="A97" s="1245">
        <v>41040000</v>
      </c>
      <c r="B97" s="802" t="s">
        <v>391</v>
      </c>
      <c r="C97" s="1154">
        <f>C98</f>
        <v>298539</v>
      </c>
      <c r="D97" s="1155">
        <f>D98</f>
        <v>298539</v>
      </c>
      <c r="E97" s="1156">
        <f>E98</f>
        <v>0</v>
      </c>
      <c r="F97" s="1249">
        <v>0</v>
      </c>
      <c r="L97" s="16"/>
    </row>
    <row r="98" spans="1:13" s="22" customFormat="1" ht="36.75" customHeight="1" x14ac:dyDescent="0.25">
      <c r="A98" s="1214">
        <v>41040400</v>
      </c>
      <c r="B98" s="1213" t="s">
        <v>668</v>
      </c>
      <c r="C98" s="1147">
        <f>D98+E98</f>
        <v>298539</v>
      </c>
      <c r="D98" s="1157">
        <f>74148+124397+99994</f>
        <v>298539</v>
      </c>
      <c r="E98" s="1153">
        <v>0</v>
      </c>
      <c r="F98" s="1246">
        <v>0</v>
      </c>
      <c r="L98" s="16"/>
    </row>
    <row r="99" spans="1:13" s="20" customFormat="1" ht="27.75" customHeight="1" x14ac:dyDescent="0.25">
      <c r="A99" s="1245">
        <v>41050000</v>
      </c>
      <c r="B99" s="802" t="s">
        <v>394</v>
      </c>
      <c r="C99" s="1154">
        <f>C106+C100+C102+C105</f>
        <v>7730785</v>
      </c>
      <c r="D99" s="1155">
        <f>D106+D100+D102+D105</f>
        <v>7358265</v>
      </c>
      <c r="E99" s="1156">
        <f>E106+E100+E102+E105</f>
        <v>372520</v>
      </c>
      <c r="F99" s="1249">
        <f>F106+F100+F102+F105</f>
        <v>372520</v>
      </c>
      <c r="L99" s="16"/>
    </row>
    <row r="100" spans="1:13" s="22" customFormat="1" ht="38.4" customHeight="1" x14ac:dyDescent="0.25">
      <c r="A100" s="801">
        <v>41051000</v>
      </c>
      <c r="B100" s="800" t="s">
        <v>395</v>
      </c>
      <c r="C100" s="1147">
        <f t="shared" ref="C100:C105" si="5">D100+E100</f>
        <v>906600</v>
      </c>
      <c r="D100" s="1157">
        <v>906600</v>
      </c>
      <c r="E100" s="1153">
        <v>0</v>
      </c>
      <c r="F100" s="1246">
        <v>0</v>
      </c>
      <c r="L100" s="16"/>
      <c r="M100" s="23" t="s">
        <v>393</v>
      </c>
    </row>
    <row r="101" spans="1:13" s="20" customFormat="1" ht="20.25" hidden="1" customHeight="1" x14ac:dyDescent="0.25">
      <c r="A101" s="801">
        <v>41051100</v>
      </c>
      <c r="B101" s="800" t="s">
        <v>396</v>
      </c>
      <c r="C101" s="1146">
        <f t="shared" si="5"/>
        <v>0</v>
      </c>
      <c r="D101" s="1153">
        <v>0</v>
      </c>
      <c r="E101" s="1153"/>
      <c r="F101" s="1246">
        <v>0</v>
      </c>
      <c r="G101" s="158"/>
      <c r="H101" s="158"/>
      <c r="L101" s="16"/>
      <c r="M101" s="24"/>
    </row>
    <row r="102" spans="1:13" s="20" customFormat="1" ht="36" hidden="1" customHeight="1" x14ac:dyDescent="0.25">
      <c r="A102" s="801">
        <v>41051200</v>
      </c>
      <c r="B102" s="800" t="s">
        <v>397</v>
      </c>
      <c r="C102" s="1146">
        <f t="shared" si="5"/>
        <v>0</v>
      </c>
      <c r="D102" s="1157"/>
      <c r="E102" s="1153">
        <v>0</v>
      </c>
      <c r="F102" s="1246">
        <v>0</v>
      </c>
      <c r="G102" s="158">
        <f>D92+G92</f>
        <v>41015812</v>
      </c>
      <c r="L102" s="16"/>
      <c r="M102" s="24"/>
    </row>
    <row r="103" spans="1:13" s="20" customFormat="1" ht="198.6" hidden="1" customHeight="1" x14ac:dyDescent="0.25">
      <c r="A103" s="801">
        <v>41051400</v>
      </c>
      <c r="B103" s="800" t="s">
        <v>398</v>
      </c>
      <c r="C103" s="1146">
        <f t="shared" si="5"/>
        <v>0</v>
      </c>
      <c r="D103" s="1153">
        <v>0</v>
      </c>
      <c r="E103" s="1153">
        <v>0</v>
      </c>
      <c r="F103" s="1246">
        <v>0</v>
      </c>
      <c r="G103" s="158"/>
      <c r="L103" s="16"/>
      <c r="M103" s="24"/>
    </row>
    <row r="104" spans="1:13" s="20" customFormat="1" ht="36.75" hidden="1" customHeight="1" x14ac:dyDescent="0.25">
      <c r="A104" s="801">
        <v>41051700</v>
      </c>
      <c r="B104" s="800" t="s">
        <v>399</v>
      </c>
      <c r="C104" s="1146">
        <f t="shared" si="5"/>
        <v>0</v>
      </c>
      <c r="D104" s="1153">
        <v>0</v>
      </c>
      <c r="E104" s="1153">
        <v>0</v>
      </c>
      <c r="F104" s="1246">
        <v>0</v>
      </c>
      <c r="L104" s="16"/>
      <c r="M104" s="23"/>
    </row>
    <row r="105" spans="1:13" s="20" customFormat="1" ht="25.8" customHeight="1" x14ac:dyDescent="0.25">
      <c r="A105" s="801">
        <v>41053900</v>
      </c>
      <c r="B105" s="800" t="s">
        <v>12</v>
      </c>
      <c r="C105" s="1146">
        <f t="shared" si="5"/>
        <v>6068331</v>
      </c>
      <c r="D105" s="1153">
        <f>5072643+60000+40000+503168+20000</f>
        <v>5695811</v>
      </c>
      <c r="E105" s="1153">
        <f>258720+113800</f>
        <v>372520</v>
      </c>
      <c r="F105" s="1246">
        <f>258720+113800</f>
        <v>372520</v>
      </c>
      <c r="L105" s="16"/>
      <c r="M105" s="23"/>
    </row>
    <row r="106" spans="1:13" s="25" customFormat="1" ht="42" thickBot="1" x14ac:dyDescent="0.3">
      <c r="A106" s="1250">
        <v>41059300</v>
      </c>
      <c r="B106" s="1161" t="s">
        <v>1036</v>
      </c>
      <c r="C106" s="1025">
        <f>D106+E106</f>
        <v>755854</v>
      </c>
      <c r="D106" s="1026">
        <v>755854</v>
      </c>
      <c r="E106" s="1142">
        <v>0</v>
      </c>
      <c r="F106" s="1251">
        <v>0</v>
      </c>
      <c r="L106" s="26"/>
      <c r="M106" s="27"/>
    </row>
    <row r="107" spans="1:13" s="20" customFormat="1" ht="48" hidden="1" customHeight="1" thickBot="1" x14ac:dyDescent="0.3">
      <c r="A107" s="1158" t="s">
        <v>400</v>
      </c>
      <c r="B107" s="1159"/>
      <c r="C107" s="1160"/>
      <c r="D107" s="1160"/>
      <c r="E107" s="1160"/>
      <c r="F107" s="1252">
        <v>0</v>
      </c>
      <c r="L107" s="16"/>
      <c r="M107" s="23"/>
    </row>
    <row r="108" spans="1:13" s="20" customFormat="1" ht="14.4" thickBot="1" x14ac:dyDescent="0.3">
      <c r="A108" s="798" t="s">
        <v>401</v>
      </c>
      <c r="B108" s="797" t="s">
        <v>402</v>
      </c>
      <c r="C108" s="1143">
        <f>C85+C86</f>
        <v>279910764</v>
      </c>
      <c r="D108" s="1143">
        <f>D85+D86</f>
        <v>226699401</v>
      </c>
      <c r="E108" s="1143">
        <f>E85+E86</f>
        <v>53211363</v>
      </c>
      <c r="F108" s="1238">
        <f>F85+F86</f>
        <v>472520</v>
      </c>
      <c r="L108" s="16"/>
      <c r="M108" s="23"/>
    </row>
    <row r="109" spans="1:13" ht="48" customHeight="1" x14ac:dyDescent="0.25">
      <c r="A109" s="14"/>
      <c r="B109" s="29"/>
      <c r="C109" s="547"/>
      <c r="D109" s="170"/>
      <c r="E109" s="169"/>
      <c r="F109" s="169"/>
    </row>
    <row r="110" spans="1:13" s="30" customFormat="1" ht="19.8" customHeight="1" x14ac:dyDescent="0.3">
      <c r="A110" s="171" t="s">
        <v>1</v>
      </c>
      <c r="B110" s="172"/>
      <c r="C110" s="173"/>
      <c r="D110" s="174"/>
      <c r="E110" s="175" t="s">
        <v>650</v>
      </c>
      <c r="F110" s="176"/>
      <c r="I110" s="31"/>
    </row>
    <row r="111" spans="1:13" hidden="1" x14ac:dyDescent="0.25">
      <c r="C111" s="177">
        <v>214489300</v>
      </c>
      <c r="D111" s="178">
        <v>213538282</v>
      </c>
      <c r="E111" s="177">
        <v>951018</v>
      </c>
      <c r="F111" s="177">
        <v>100000</v>
      </c>
    </row>
    <row r="112" spans="1:13" hidden="1" x14ac:dyDescent="0.25">
      <c r="B112" s="32">
        <v>1</v>
      </c>
      <c r="C112" s="177">
        <v>219236554</v>
      </c>
      <c r="D112" s="178">
        <v>218285536</v>
      </c>
      <c r="E112" s="177">
        <v>951018</v>
      </c>
      <c r="F112" s="177">
        <v>100000</v>
      </c>
    </row>
    <row r="113" spans="2:6" hidden="1" x14ac:dyDescent="0.25">
      <c r="C113" s="419">
        <f>C112-C111</f>
        <v>4747254</v>
      </c>
      <c r="D113" s="419">
        <f>D112-D111</f>
        <v>4747254</v>
      </c>
      <c r="E113" s="419">
        <f>E112-E111</f>
        <v>0</v>
      </c>
      <c r="F113" s="419">
        <f>F112-F111</f>
        <v>0</v>
      </c>
    </row>
    <row r="114" spans="2:6" hidden="1" x14ac:dyDescent="0.25">
      <c r="B114" s="32">
        <v>2</v>
      </c>
      <c r="C114" s="1206">
        <v>223382872</v>
      </c>
      <c r="D114" s="1207">
        <v>222173134</v>
      </c>
      <c r="E114" s="1206">
        <v>1209738</v>
      </c>
      <c r="F114" s="1206">
        <v>358720</v>
      </c>
    </row>
    <row r="115" spans="2:6" hidden="1" x14ac:dyDescent="0.25">
      <c r="B115" s="1181"/>
      <c r="C115" s="1208">
        <f>C114-C112</f>
        <v>4146318</v>
      </c>
      <c r="D115" s="1208">
        <f>D114-D112</f>
        <v>3887598</v>
      </c>
      <c r="E115" s="1208">
        <f>E114-E112</f>
        <v>258720</v>
      </c>
      <c r="F115" s="1208">
        <f>F114-F112</f>
        <v>258720</v>
      </c>
    </row>
    <row r="116" spans="2:6" hidden="1" x14ac:dyDescent="0.25">
      <c r="B116" s="32">
        <v>3</v>
      </c>
      <c r="C116" s="1206">
        <v>277649405</v>
      </c>
      <c r="D116" s="1207">
        <v>224551842</v>
      </c>
      <c r="E116" s="1206">
        <v>53097563</v>
      </c>
      <c r="F116" s="1206">
        <v>358720</v>
      </c>
    </row>
    <row r="117" spans="2:6" hidden="1" x14ac:dyDescent="0.25">
      <c r="B117" s="1181"/>
      <c r="C117" s="1208">
        <f>C116-C114</f>
        <v>54266533</v>
      </c>
      <c r="D117" s="1208">
        <f>D116-D114</f>
        <v>2378708</v>
      </c>
      <c r="E117" s="1208">
        <f>E116-E114</f>
        <v>51887825</v>
      </c>
      <c r="F117" s="1208">
        <f>F116-F114</f>
        <v>0</v>
      </c>
    </row>
    <row r="118" spans="2:6" hidden="1" x14ac:dyDescent="0.25">
      <c r="B118" s="32">
        <v>4</v>
      </c>
      <c r="C118" s="1128">
        <v>278266373</v>
      </c>
      <c r="D118" s="1129">
        <v>225055010</v>
      </c>
      <c r="E118" s="1128">
        <v>53211363</v>
      </c>
      <c r="F118" s="1128">
        <v>472520</v>
      </c>
    </row>
    <row r="119" spans="2:6" hidden="1" x14ac:dyDescent="0.25">
      <c r="C119" s="1130">
        <f>C118-C116</f>
        <v>616968</v>
      </c>
      <c r="D119" s="1130">
        <f>D118-D116</f>
        <v>503168</v>
      </c>
      <c r="E119" s="1130">
        <f>E118-E116</f>
        <v>113800</v>
      </c>
      <c r="F119" s="1130">
        <f>F118-F116</f>
        <v>113800</v>
      </c>
    </row>
    <row r="120" spans="2:6" hidden="1" x14ac:dyDescent="0.25">
      <c r="B120" s="32">
        <v>5</v>
      </c>
      <c r="C120" s="1128">
        <v>279810770</v>
      </c>
      <c r="D120" s="1129">
        <v>226599407</v>
      </c>
      <c r="E120" s="1128">
        <v>53211363</v>
      </c>
      <c r="F120" s="1128">
        <v>472520</v>
      </c>
    </row>
    <row r="121" spans="2:6" hidden="1" x14ac:dyDescent="0.25">
      <c r="C121" s="1130">
        <f>C120-C118</f>
        <v>1544397</v>
      </c>
      <c r="D121" s="1130">
        <f>D120-D118</f>
        <v>1544397</v>
      </c>
      <c r="E121" s="1130">
        <f>E120-E118</f>
        <v>0</v>
      </c>
      <c r="F121" s="1130">
        <f>F120-F118</f>
        <v>0</v>
      </c>
    </row>
    <row r="122" spans="2:6" hidden="1" x14ac:dyDescent="0.25">
      <c r="B122" s="32">
        <v>6</v>
      </c>
      <c r="C122" s="1128">
        <v>256428809</v>
      </c>
      <c r="D122" s="1129">
        <v>231828292</v>
      </c>
      <c r="E122" s="1128">
        <v>24600517</v>
      </c>
      <c r="F122" s="1128">
        <v>100000</v>
      </c>
    </row>
    <row r="123" spans="2:6" hidden="1" x14ac:dyDescent="0.25">
      <c r="C123" s="1130">
        <f>C122-C120</f>
        <v>-23381961</v>
      </c>
      <c r="D123" s="1130">
        <f>D122-D120</f>
        <v>5228885</v>
      </c>
      <c r="E123" s="1130">
        <f>E122-E120</f>
        <v>-28610846</v>
      </c>
      <c r="F123" s="1130">
        <f>F122-F120</f>
        <v>-372520</v>
      </c>
    </row>
    <row r="124" spans="2:6" hidden="1" x14ac:dyDescent="0.25">
      <c r="B124" s="32">
        <v>7</v>
      </c>
      <c r="C124" s="1128">
        <v>256602282</v>
      </c>
      <c r="D124" s="1129">
        <v>232001765</v>
      </c>
      <c r="E124" s="1128">
        <v>24600517</v>
      </c>
      <c r="F124" s="1128">
        <v>100000</v>
      </c>
    </row>
    <row r="125" spans="2:6" hidden="1" x14ac:dyDescent="0.25">
      <c r="C125" s="1130">
        <f>C124-C122</f>
        <v>173473</v>
      </c>
      <c r="D125" s="1130">
        <f>D124-D122</f>
        <v>173473</v>
      </c>
      <c r="E125" s="1130">
        <f>E124-E122</f>
        <v>0</v>
      </c>
      <c r="F125" s="1130">
        <f>F124-F122</f>
        <v>0</v>
      </c>
    </row>
    <row r="126" spans="2:6" hidden="1" x14ac:dyDescent="0.25">
      <c r="B126" s="32">
        <v>8</v>
      </c>
      <c r="C126" s="1128">
        <v>261345394.55000001</v>
      </c>
      <c r="D126" s="1129">
        <v>236744877.55000001</v>
      </c>
      <c r="E126" s="1128">
        <v>24600517</v>
      </c>
      <c r="F126" s="1128">
        <v>100000</v>
      </c>
    </row>
    <row r="127" spans="2:6" hidden="1" x14ac:dyDescent="0.25">
      <c r="C127" s="1131">
        <f>C126-C124</f>
        <v>4743112.5500000119</v>
      </c>
      <c r="D127" s="1131">
        <f>D126-D124</f>
        <v>4743112.5500000119</v>
      </c>
      <c r="E127" s="1131">
        <f>E126-E124</f>
        <v>0</v>
      </c>
      <c r="F127" s="1131">
        <f>F126-F124</f>
        <v>0</v>
      </c>
    </row>
    <row r="128" spans="2:6" hidden="1" x14ac:dyDescent="0.25">
      <c r="B128" s="32">
        <v>8</v>
      </c>
      <c r="C128" s="1128">
        <v>262782700.55000001</v>
      </c>
      <c r="D128" s="1129">
        <v>236805723.55000001</v>
      </c>
      <c r="E128" s="1128">
        <v>25976977</v>
      </c>
      <c r="F128" s="1128">
        <v>100000</v>
      </c>
    </row>
    <row r="129" spans="2:6" hidden="1" x14ac:dyDescent="0.25">
      <c r="C129" s="1131">
        <f>C128-C126</f>
        <v>1437306</v>
      </c>
      <c r="D129" s="1131">
        <f>D128-D126</f>
        <v>60846</v>
      </c>
      <c r="E129" s="1131">
        <f>E128-E126</f>
        <v>1376460</v>
      </c>
      <c r="F129" s="1131">
        <f>F128-F126</f>
        <v>0</v>
      </c>
    </row>
    <row r="130" spans="2:6" hidden="1" x14ac:dyDescent="0.25">
      <c r="B130" s="32">
        <v>9</v>
      </c>
      <c r="C130" s="1128">
        <v>263665129.55000001</v>
      </c>
      <c r="D130" s="1129">
        <v>237688152.55000001</v>
      </c>
      <c r="E130" s="1128">
        <v>25976977</v>
      </c>
      <c r="F130" s="1128">
        <v>100000</v>
      </c>
    </row>
    <row r="131" spans="2:6" hidden="1" x14ac:dyDescent="0.25">
      <c r="C131" s="1131">
        <f>C130-C128</f>
        <v>882429</v>
      </c>
      <c r="D131" s="1131">
        <f>D130-D128</f>
        <v>882429</v>
      </c>
      <c r="E131" s="1131">
        <f>E130-E128</f>
        <v>0</v>
      </c>
      <c r="F131" s="1131">
        <f>F130-F128</f>
        <v>0</v>
      </c>
    </row>
    <row r="132" spans="2:6" hidden="1" x14ac:dyDescent="0.25">
      <c r="B132" s="32">
        <v>10</v>
      </c>
      <c r="C132" s="1128">
        <v>264931229.55000001</v>
      </c>
      <c r="D132" s="1129">
        <v>238954252.55000001</v>
      </c>
      <c r="E132" s="1128">
        <v>25976977</v>
      </c>
      <c r="F132" s="1128">
        <v>100000</v>
      </c>
    </row>
    <row r="133" spans="2:6" hidden="1" x14ac:dyDescent="0.25">
      <c r="C133" s="1131">
        <f>C132-C130</f>
        <v>1266100</v>
      </c>
      <c r="D133" s="1131">
        <f>D132-D130</f>
        <v>1266100</v>
      </c>
      <c r="E133" s="1131">
        <f>E132-E130</f>
        <v>0</v>
      </c>
      <c r="F133" s="1131">
        <f>F132-F130</f>
        <v>0</v>
      </c>
    </row>
    <row r="134" spans="2:6" hidden="1" x14ac:dyDescent="0.25">
      <c r="B134" s="32">
        <v>10</v>
      </c>
      <c r="C134" s="1128">
        <v>265327322.55000001</v>
      </c>
      <c r="D134" s="1129">
        <v>239350345.55000001</v>
      </c>
      <c r="E134" s="1128">
        <v>25976977</v>
      </c>
      <c r="F134" s="1128">
        <v>100000</v>
      </c>
    </row>
    <row r="135" spans="2:6" hidden="1" x14ac:dyDescent="0.25">
      <c r="C135" s="1131">
        <f>C134-C132</f>
        <v>396093</v>
      </c>
      <c r="D135" s="1131">
        <f>D134-D132</f>
        <v>396093</v>
      </c>
      <c r="E135" s="1131">
        <f>E134-E132</f>
        <v>0</v>
      </c>
      <c r="F135" s="1131">
        <f>F134-F132</f>
        <v>0</v>
      </c>
    </row>
    <row r="136" spans="2:6" hidden="1" x14ac:dyDescent="0.25">
      <c r="B136" s="32">
        <v>11</v>
      </c>
      <c r="C136" s="1128">
        <v>267284564.36000001</v>
      </c>
      <c r="D136" s="1129">
        <v>241307587.36000001</v>
      </c>
      <c r="E136" s="1128">
        <v>25976977</v>
      </c>
      <c r="F136" s="1128">
        <v>100000</v>
      </c>
    </row>
    <row r="137" spans="2:6" hidden="1" x14ac:dyDescent="0.25">
      <c r="C137" s="1131">
        <f>C136-C134</f>
        <v>1957241.8100000024</v>
      </c>
      <c r="D137" s="1131">
        <f>D136-D134</f>
        <v>1957241.8100000024</v>
      </c>
      <c r="E137" s="1131">
        <f>E136-E134</f>
        <v>0</v>
      </c>
      <c r="F137" s="1131">
        <f>F136-F134</f>
        <v>0</v>
      </c>
    </row>
    <row r="138" spans="2:6" hidden="1" x14ac:dyDescent="0.25">
      <c r="B138" s="32">
        <v>12</v>
      </c>
      <c r="C138" s="1128">
        <v>269086864.36000001</v>
      </c>
      <c r="D138" s="1129">
        <v>243109887.36000001</v>
      </c>
      <c r="E138" s="1128">
        <v>25976977</v>
      </c>
      <c r="F138" s="1128">
        <v>100000</v>
      </c>
    </row>
    <row r="139" spans="2:6" hidden="1" x14ac:dyDescent="0.25">
      <c r="C139" s="1131">
        <f>C138-C136</f>
        <v>1802300</v>
      </c>
      <c r="D139" s="1131">
        <f>D138-D136</f>
        <v>1802300</v>
      </c>
      <c r="E139" s="1131">
        <f>E138-E136</f>
        <v>0</v>
      </c>
      <c r="F139" s="1131">
        <f>F138-F136</f>
        <v>0</v>
      </c>
    </row>
    <row r="140" spans="2:6" hidden="1" x14ac:dyDescent="0.25">
      <c r="B140" s="32">
        <v>12</v>
      </c>
      <c r="C140" s="1131">
        <v>275430933.23000002</v>
      </c>
      <c r="D140" s="1131">
        <v>248227389.17000002</v>
      </c>
      <c r="E140" s="1131">
        <v>27203544.059999999</v>
      </c>
      <c r="F140" s="1131">
        <v>100000</v>
      </c>
    </row>
    <row r="141" spans="2:6" hidden="1" x14ac:dyDescent="0.25">
      <c r="C141" s="1131">
        <f>C138-C140</f>
        <v>-6344068.8700000048</v>
      </c>
      <c r="D141" s="1131">
        <f>D138-D140</f>
        <v>-5117501.8100000024</v>
      </c>
      <c r="E141" s="1131">
        <f>E138-E140</f>
        <v>-1226567.0599999987</v>
      </c>
      <c r="F141" s="1131">
        <f>F138-F140</f>
        <v>0</v>
      </c>
    </row>
    <row r="142" spans="2:6" hidden="1" x14ac:dyDescent="0.25">
      <c r="B142" s="712" t="s">
        <v>359</v>
      </c>
      <c r="C142" s="1131">
        <f>C113+C115+C117+C119+C121+C123+C125+C127+C129+C131+C133+C135+C137+C139+C141</f>
        <v>48253495.49000001</v>
      </c>
      <c r="D142" s="1131">
        <f>D113+D115+D117+D119+D121+D123+D125+D127+D129+D131+D133+D135+D137+D139+D141</f>
        <v>24454103.550000012</v>
      </c>
      <c r="E142" s="1131">
        <f>E113+E115+E117+E119+E121+E123+E125+E127+E129+E131+E133+E135+E137+E139+E141</f>
        <v>23799391.940000001</v>
      </c>
      <c r="F142" s="1131">
        <f>F113+F115+F117+F119+F121+F123+F125+F127+F129+F131+F133+F135+F137+F139+F141</f>
        <v>0</v>
      </c>
    </row>
  </sheetData>
  <mergeCells count="11">
    <mergeCell ref="A5:E5"/>
    <mergeCell ref="A6:E6"/>
    <mergeCell ref="B1:F1"/>
    <mergeCell ref="B2:F2"/>
    <mergeCell ref="B3:F3"/>
    <mergeCell ref="B4:F4"/>
    <mergeCell ref="A9:A10"/>
    <mergeCell ref="B9:B10"/>
    <mergeCell ref="C9:C10"/>
    <mergeCell ref="D9:D10"/>
    <mergeCell ref="E9:F9"/>
  </mergeCells>
  <pageMargins left="1.2204724409448819" right="0.43307086614173229" top="0.74803149606299213" bottom="0.74803149606299213" header="0.31496062992125984" footer="0.31496062992125984"/>
  <pageSetup paperSize="9" scale="53" fitToHeight="3" orientation="portrait" horizontalDpi="360" verticalDpi="360" r:id="rId1"/>
  <rowBreaks count="1" manualBreakCount="1">
    <brk id="34"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F376"/>
  <sheetViews>
    <sheetView zoomScale="75" zoomScaleNormal="75" zoomScaleSheetLayoutView="75" workbookViewId="0">
      <selection activeCell="E2" sqref="E2"/>
    </sheetView>
  </sheetViews>
  <sheetFormatPr defaultRowHeight="10.199999999999999" x14ac:dyDescent="0.3"/>
  <cols>
    <col min="1" max="1" width="14.6640625" style="348" customWidth="1"/>
    <col min="2" max="2" width="11" style="407" customWidth="1"/>
    <col min="3" max="3" width="15" style="408" customWidth="1"/>
    <col min="4" max="4" width="14.5546875" style="394" customWidth="1"/>
    <col min="5" max="5" width="174.6640625" style="348" customWidth="1"/>
    <col min="6" max="219" width="8.88671875" style="348"/>
    <col min="220" max="220" width="16" style="348" customWidth="1"/>
    <col min="221" max="221" width="11" style="348" customWidth="1"/>
    <col min="222" max="222" width="14.33203125" style="348" customWidth="1"/>
    <col min="223" max="223" width="17.109375" style="348" customWidth="1"/>
    <col min="224" max="224" width="126.109375" style="348" customWidth="1"/>
    <col min="225" max="225" width="9.109375" style="348" customWidth="1"/>
    <col min="226" max="475" width="8.88671875" style="348"/>
    <col min="476" max="476" width="16" style="348" customWidth="1"/>
    <col min="477" max="477" width="11" style="348" customWidth="1"/>
    <col min="478" max="478" width="14.33203125" style="348" customWidth="1"/>
    <col min="479" max="479" width="17.109375" style="348" customWidth="1"/>
    <col min="480" max="480" width="126.109375" style="348" customWidth="1"/>
    <col min="481" max="481" width="9.109375" style="348" customWidth="1"/>
    <col min="482" max="731" width="8.88671875" style="348"/>
    <col min="732" max="732" width="16" style="348" customWidth="1"/>
    <col min="733" max="733" width="11" style="348" customWidth="1"/>
    <col min="734" max="734" width="14.33203125" style="348" customWidth="1"/>
    <col min="735" max="735" width="17.109375" style="348" customWidth="1"/>
    <col min="736" max="736" width="126.109375" style="348" customWidth="1"/>
    <col min="737" max="737" width="9.109375" style="348" customWidth="1"/>
    <col min="738" max="987" width="8.88671875" style="348"/>
    <col min="988" max="988" width="16" style="348" customWidth="1"/>
    <col min="989" max="989" width="11" style="348" customWidth="1"/>
    <col min="990" max="990" width="14.33203125" style="348" customWidth="1"/>
    <col min="991" max="991" width="17.109375" style="348" customWidth="1"/>
    <col min="992" max="992" width="126.109375" style="348" customWidth="1"/>
    <col min="993" max="993" width="9.109375" style="348" customWidth="1"/>
    <col min="994" max="1243" width="8.88671875" style="348"/>
    <col min="1244" max="1244" width="16" style="348" customWidth="1"/>
    <col min="1245" max="1245" width="11" style="348" customWidth="1"/>
    <col min="1246" max="1246" width="14.33203125" style="348" customWidth="1"/>
    <col min="1247" max="1247" width="17.109375" style="348" customWidth="1"/>
    <col min="1248" max="1248" width="126.109375" style="348" customWidth="1"/>
    <col min="1249" max="1249" width="9.109375" style="348" customWidth="1"/>
    <col min="1250" max="1499" width="8.88671875" style="348"/>
    <col min="1500" max="1500" width="16" style="348" customWidth="1"/>
    <col min="1501" max="1501" width="11" style="348" customWidth="1"/>
    <col min="1502" max="1502" width="14.33203125" style="348" customWidth="1"/>
    <col min="1503" max="1503" width="17.109375" style="348" customWidth="1"/>
    <col min="1504" max="1504" width="126.109375" style="348" customWidth="1"/>
    <col min="1505" max="1505" width="9.109375" style="348" customWidth="1"/>
    <col min="1506" max="1755" width="8.88671875" style="348"/>
    <col min="1756" max="1756" width="16" style="348" customWidth="1"/>
    <col min="1757" max="1757" width="11" style="348" customWidth="1"/>
    <col min="1758" max="1758" width="14.33203125" style="348" customWidth="1"/>
    <col min="1759" max="1759" width="17.109375" style="348" customWidth="1"/>
    <col min="1760" max="1760" width="126.109375" style="348" customWidth="1"/>
    <col min="1761" max="1761" width="9.109375" style="348" customWidth="1"/>
    <col min="1762" max="2011" width="8.88671875" style="348"/>
    <col min="2012" max="2012" width="16" style="348" customWidth="1"/>
    <col min="2013" max="2013" width="11" style="348" customWidth="1"/>
    <col min="2014" max="2014" width="14.33203125" style="348" customWidth="1"/>
    <col min="2015" max="2015" width="17.109375" style="348" customWidth="1"/>
    <col min="2016" max="2016" width="126.109375" style="348" customWidth="1"/>
    <col min="2017" max="2017" width="9.109375" style="348" customWidth="1"/>
    <col min="2018" max="2267" width="8.88671875" style="348"/>
    <col min="2268" max="2268" width="16" style="348" customWidth="1"/>
    <col min="2269" max="2269" width="11" style="348" customWidth="1"/>
    <col min="2270" max="2270" width="14.33203125" style="348" customWidth="1"/>
    <col min="2271" max="2271" width="17.109375" style="348" customWidth="1"/>
    <col min="2272" max="2272" width="126.109375" style="348" customWidth="1"/>
    <col min="2273" max="2273" width="9.109375" style="348" customWidth="1"/>
    <col min="2274" max="2523" width="8.88671875" style="348"/>
    <col min="2524" max="2524" width="16" style="348" customWidth="1"/>
    <col min="2525" max="2525" width="11" style="348" customWidth="1"/>
    <col min="2526" max="2526" width="14.33203125" style="348" customWidth="1"/>
    <col min="2527" max="2527" width="17.109375" style="348" customWidth="1"/>
    <col min="2528" max="2528" width="126.109375" style="348" customWidth="1"/>
    <col min="2529" max="2529" width="9.109375" style="348" customWidth="1"/>
    <col min="2530" max="2779" width="8.88671875" style="348"/>
    <col min="2780" max="2780" width="16" style="348" customWidth="1"/>
    <col min="2781" max="2781" width="11" style="348" customWidth="1"/>
    <col min="2782" max="2782" width="14.33203125" style="348" customWidth="1"/>
    <col min="2783" max="2783" width="17.109375" style="348" customWidth="1"/>
    <col min="2784" max="2784" width="126.109375" style="348" customWidth="1"/>
    <col min="2785" max="2785" width="9.109375" style="348" customWidth="1"/>
    <col min="2786" max="3035" width="8.88671875" style="348"/>
    <col min="3036" max="3036" width="16" style="348" customWidth="1"/>
    <col min="3037" max="3037" width="11" style="348" customWidth="1"/>
    <col min="3038" max="3038" width="14.33203125" style="348" customWidth="1"/>
    <col min="3039" max="3039" width="17.109375" style="348" customWidth="1"/>
    <col min="3040" max="3040" width="126.109375" style="348" customWidth="1"/>
    <col min="3041" max="3041" width="9.109375" style="348" customWidth="1"/>
    <col min="3042" max="3291" width="8.88671875" style="348"/>
    <col min="3292" max="3292" width="16" style="348" customWidth="1"/>
    <col min="3293" max="3293" width="11" style="348" customWidth="1"/>
    <col min="3294" max="3294" width="14.33203125" style="348" customWidth="1"/>
    <col min="3295" max="3295" width="17.109375" style="348" customWidth="1"/>
    <col min="3296" max="3296" width="126.109375" style="348" customWidth="1"/>
    <col min="3297" max="3297" width="9.109375" style="348" customWidth="1"/>
    <col min="3298" max="3547" width="8.88671875" style="348"/>
    <col min="3548" max="3548" width="16" style="348" customWidth="1"/>
    <col min="3549" max="3549" width="11" style="348" customWidth="1"/>
    <col min="3550" max="3550" width="14.33203125" style="348" customWidth="1"/>
    <col min="3551" max="3551" width="17.109375" style="348" customWidth="1"/>
    <col min="3552" max="3552" width="126.109375" style="348" customWidth="1"/>
    <col min="3553" max="3553" width="9.109375" style="348" customWidth="1"/>
    <col min="3554" max="3803" width="8.88671875" style="348"/>
    <col min="3804" max="3804" width="16" style="348" customWidth="1"/>
    <col min="3805" max="3805" width="11" style="348" customWidth="1"/>
    <col min="3806" max="3806" width="14.33203125" style="348" customWidth="1"/>
    <col min="3807" max="3807" width="17.109375" style="348" customWidth="1"/>
    <col min="3808" max="3808" width="126.109375" style="348" customWidth="1"/>
    <col min="3809" max="3809" width="9.109375" style="348" customWidth="1"/>
    <col min="3810" max="4059" width="8.88671875" style="348"/>
    <col min="4060" max="4060" width="16" style="348" customWidth="1"/>
    <col min="4061" max="4061" width="11" style="348" customWidth="1"/>
    <col min="4062" max="4062" width="14.33203125" style="348" customWidth="1"/>
    <col min="4063" max="4063" width="17.109375" style="348" customWidth="1"/>
    <col min="4064" max="4064" width="126.109375" style="348" customWidth="1"/>
    <col min="4065" max="4065" width="9.109375" style="348" customWidth="1"/>
    <col min="4066" max="4315" width="8.88671875" style="348"/>
    <col min="4316" max="4316" width="16" style="348" customWidth="1"/>
    <col min="4317" max="4317" width="11" style="348" customWidth="1"/>
    <col min="4318" max="4318" width="14.33203125" style="348" customWidth="1"/>
    <col min="4319" max="4319" width="17.109375" style="348" customWidth="1"/>
    <col min="4320" max="4320" width="126.109375" style="348" customWidth="1"/>
    <col min="4321" max="4321" width="9.109375" style="348" customWidth="1"/>
    <col min="4322" max="4571" width="8.88671875" style="348"/>
    <col min="4572" max="4572" width="16" style="348" customWidth="1"/>
    <col min="4573" max="4573" width="11" style="348" customWidth="1"/>
    <col min="4574" max="4574" width="14.33203125" style="348" customWidth="1"/>
    <col min="4575" max="4575" width="17.109375" style="348" customWidth="1"/>
    <col min="4576" max="4576" width="126.109375" style="348" customWidth="1"/>
    <col min="4577" max="4577" width="9.109375" style="348" customWidth="1"/>
    <col min="4578" max="4827" width="8.88671875" style="348"/>
    <col min="4828" max="4828" width="16" style="348" customWidth="1"/>
    <col min="4829" max="4829" width="11" style="348" customWidth="1"/>
    <col min="4830" max="4830" width="14.33203125" style="348" customWidth="1"/>
    <col min="4831" max="4831" width="17.109375" style="348" customWidth="1"/>
    <col min="4832" max="4832" width="126.109375" style="348" customWidth="1"/>
    <col min="4833" max="4833" width="9.109375" style="348" customWidth="1"/>
    <col min="4834" max="5083" width="8.88671875" style="348"/>
    <col min="5084" max="5084" width="16" style="348" customWidth="1"/>
    <col min="5085" max="5085" width="11" style="348" customWidth="1"/>
    <col min="5086" max="5086" width="14.33203125" style="348" customWidth="1"/>
    <col min="5087" max="5087" width="17.109375" style="348" customWidth="1"/>
    <col min="5088" max="5088" width="126.109375" style="348" customWidth="1"/>
    <col min="5089" max="5089" width="9.109375" style="348" customWidth="1"/>
    <col min="5090" max="5339" width="8.88671875" style="348"/>
    <col min="5340" max="5340" width="16" style="348" customWidth="1"/>
    <col min="5341" max="5341" width="11" style="348" customWidth="1"/>
    <col min="5342" max="5342" width="14.33203125" style="348" customWidth="1"/>
    <col min="5343" max="5343" width="17.109375" style="348" customWidth="1"/>
    <col min="5344" max="5344" width="126.109375" style="348" customWidth="1"/>
    <col min="5345" max="5345" width="9.109375" style="348" customWidth="1"/>
    <col min="5346" max="5595" width="8.88671875" style="348"/>
    <col min="5596" max="5596" width="16" style="348" customWidth="1"/>
    <col min="5597" max="5597" width="11" style="348" customWidth="1"/>
    <col min="5598" max="5598" width="14.33203125" style="348" customWidth="1"/>
    <col min="5599" max="5599" width="17.109375" style="348" customWidth="1"/>
    <col min="5600" max="5600" width="126.109375" style="348" customWidth="1"/>
    <col min="5601" max="5601" width="9.109375" style="348" customWidth="1"/>
    <col min="5602" max="5851" width="8.88671875" style="348"/>
    <col min="5852" max="5852" width="16" style="348" customWidth="1"/>
    <col min="5853" max="5853" width="11" style="348" customWidth="1"/>
    <col min="5854" max="5854" width="14.33203125" style="348" customWidth="1"/>
    <col min="5855" max="5855" width="17.109375" style="348" customWidth="1"/>
    <col min="5856" max="5856" width="126.109375" style="348" customWidth="1"/>
    <col min="5857" max="5857" width="9.109375" style="348" customWidth="1"/>
    <col min="5858" max="6107" width="8.88671875" style="348"/>
    <col min="6108" max="6108" width="16" style="348" customWidth="1"/>
    <col min="6109" max="6109" width="11" style="348" customWidth="1"/>
    <col min="6110" max="6110" width="14.33203125" style="348" customWidth="1"/>
    <col min="6111" max="6111" width="17.109375" style="348" customWidth="1"/>
    <col min="6112" max="6112" width="126.109375" style="348" customWidth="1"/>
    <col min="6113" max="6113" width="9.109375" style="348" customWidth="1"/>
    <col min="6114" max="6363" width="8.88671875" style="348"/>
    <col min="6364" max="6364" width="16" style="348" customWidth="1"/>
    <col min="6365" max="6365" width="11" style="348" customWidth="1"/>
    <col min="6366" max="6366" width="14.33203125" style="348" customWidth="1"/>
    <col min="6367" max="6367" width="17.109375" style="348" customWidth="1"/>
    <col min="6368" max="6368" width="126.109375" style="348" customWidth="1"/>
    <col min="6369" max="6369" width="9.109375" style="348" customWidth="1"/>
    <col min="6370" max="6619" width="8.88671875" style="348"/>
    <col min="6620" max="6620" width="16" style="348" customWidth="1"/>
    <col min="6621" max="6621" width="11" style="348" customWidth="1"/>
    <col min="6622" max="6622" width="14.33203125" style="348" customWidth="1"/>
    <col min="6623" max="6623" width="17.109375" style="348" customWidth="1"/>
    <col min="6624" max="6624" width="126.109375" style="348" customWidth="1"/>
    <col min="6625" max="6625" width="9.109375" style="348" customWidth="1"/>
    <col min="6626" max="6875" width="8.88671875" style="348"/>
    <col min="6876" max="6876" width="16" style="348" customWidth="1"/>
    <col min="6877" max="6877" width="11" style="348" customWidth="1"/>
    <col min="6878" max="6878" width="14.33203125" style="348" customWidth="1"/>
    <col min="6879" max="6879" width="17.109375" style="348" customWidth="1"/>
    <col min="6880" max="6880" width="126.109375" style="348" customWidth="1"/>
    <col min="6881" max="6881" width="9.109375" style="348" customWidth="1"/>
    <col min="6882" max="7131" width="8.88671875" style="348"/>
    <col min="7132" max="7132" width="16" style="348" customWidth="1"/>
    <col min="7133" max="7133" width="11" style="348" customWidth="1"/>
    <col min="7134" max="7134" width="14.33203125" style="348" customWidth="1"/>
    <col min="7135" max="7135" width="17.109375" style="348" customWidth="1"/>
    <col min="7136" max="7136" width="126.109375" style="348" customWidth="1"/>
    <col min="7137" max="7137" width="9.109375" style="348" customWidth="1"/>
    <col min="7138" max="7387" width="8.88671875" style="348"/>
    <col min="7388" max="7388" width="16" style="348" customWidth="1"/>
    <col min="7389" max="7389" width="11" style="348" customWidth="1"/>
    <col min="7390" max="7390" width="14.33203125" style="348" customWidth="1"/>
    <col min="7391" max="7391" width="17.109375" style="348" customWidth="1"/>
    <col min="7392" max="7392" width="126.109375" style="348" customWidth="1"/>
    <col min="7393" max="7393" width="9.109375" style="348" customWidth="1"/>
    <col min="7394" max="7643" width="8.88671875" style="348"/>
    <col min="7644" max="7644" width="16" style="348" customWidth="1"/>
    <col min="7645" max="7645" width="11" style="348" customWidth="1"/>
    <col min="7646" max="7646" width="14.33203125" style="348" customWidth="1"/>
    <col min="7647" max="7647" width="17.109375" style="348" customWidth="1"/>
    <col min="7648" max="7648" width="126.109375" style="348" customWidth="1"/>
    <col min="7649" max="7649" width="9.109375" style="348" customWidth="1"/>
    <col min="7650" max="7899" width="8.88671875" style="348"/>
    <col min="7900" max="7900" width="16" style="348" customWidth="1"/>
    <col min="7901" max="7901" width="11" style="348" customWidth="1"/>
    <col min="7902" max="7902" width="14.33203125" style="348" customWidth="1"/>
    <col min="7903" max="7903" width="17.109375" style="348" customWidth="1"/>
    <col min="7904" max="7904" width="126.109375" style="348" customWidth="1"/>
    <col min="7905" max="7905" width="9.109375" style="348" customWidth="1"/>
    <col min="7906" max="8155" width="8.88671875" style="348"/>
    <col min="8156" max="8156" width="16" style="348" customWidth="1"/>
    <col min="8157" max="8157" width="11" style="348" customWidth="1"/>
    <col min="8158" max="8158" width="14.33203125" style="348" customWidth="1"/>
    <col min="8159" max="8159" width="17.109375" style="348" customWidth="1"/>
    <col min="8160" max="8160" width="126.109375" style="348" customWidth="1"/>
    <col min="8161" max="8161" width="9.109375" style="348" customWidth="1"/>
    <col min="8162" max="8411" width="8.88671875" style="348"/>
    <col min="8412" max="8412" width="16" style="348" customWidth="1"/>
    <col min="8413" max="8413" width="11" style="348" customWidth="1"/>
    <col min="8414" max="8414" width="14.33203125" style="348" customWidth="1"/>
    <col min="8415" max="8415" width="17.109375" style="348" customWidth="1"/>
    <col min="8416" max="8416" width="126.109375" style="348" customWidth="1"/>
    <col min="8417" max="8417" width="9.109375" style="348" customWidth="1"/>
    <col min="8418" max="8667" width="8.88671875" style="348"/>
    <col min="8668" max="8668" width="16" style="348" customWidth="1"/>
    <col min="8669" max="8669" width="11" style="348" customWidth="1"/>
    <col min="8670" max="8670" width="14.33203125" style="348" customWidth="1"/>
    <col min="8671" max="8671" width="17.109375" style="348" customWidth="1"/>
    <col min="8672" max="8672" width="126.109375" style="348" customWidth="1"/>
    <col min="8673" max="8673" width="9.109375" style="348" customWidth="1"/>
    <col min="8674" max="8923" width="8.88671875" style="348"/>
    <col min="8924" max="8924" width="16" style="348" customWidth="1"/>
    <col min="8925" max="8925" width="11" style="348" customWidth="1"/>
    <col min="8926" max="8926" width="14.33203125" style="348" customWidth="1"/>
    <col min="8927" max="8927" width="17.109375" style="348" customWidth="1"/>
    <col min="8928" max="8928" width="126.109375" style="348" customWidth="1"/>
    <col min="8929" max="8929" width="9.109375" style="348" customWidth="1"/>
    <col min="8930" max="9179" width="8.88671875" style="348"/>
    <col min="9180" max="9180" width="16" style="348" customWidth="1"/>
    <col min="9181" max="9181" width="11" style="348" customWidth="1"/>
    <col min="9182" max="9182" width="14.33203125" style="348" customWidth="1"/>
    <col min="9183" max="9183" width="17.109375" style="348" customWidth="1"/>
    <col min="9184" max="9184" width="126.109375" style="348" customWidth="1"/>
    <col min="9185" max="9185" width="9.109375" style="348" customWidth="1"/>
    <col min="9186" max="9435" width="8.88671875" style="348"/>
    <col min="9436" max="9436" width="16" style="348" customWidth="1"/>
    <col min="9437" max="9437" width="11" style="348" customWidth="1"/>
    <col min="9438" max="9438" width="14.33203125" style="348" customWidth="1"/>
    <col min="9439" max="9439" width="17.109375" style="348" customWidth="1"/>
    <col min="9440" max="9440" width="126.109375" style="348" customWidth="1"/>
    <col min="9441" max="9441" width="9.109375" style="348" customWidth="1"/>
    <col min="9442" max="9691" width="8.88671875" style="348"/>
    <col min="9692" max="9692" width="16" style="348" customWidth="1"/>
    <col min="9693" max="9693" width="11" style="348" customWidth="1"/>
    <col min="9694" max="9694" width="14.33203125" style="348" customWidth="1"/>
    <col min="9695" max="9695" width="17.109375" style="348" customWidth="1"/>
    <col min="9696" max="9696" width="126.109375" style="348" customWidth="1"/>
    <col min="9697" max="9697" width="9.109375" style="348" customWidth="1"/>
    <col min="9698" max="9947" width="8.88671875" style="348"/>
    <col min="9948" max="9948" width="16" style="348" customWidth="1"/>
    <col min="9949" max="9949" width="11" style="348" customWidth="1"/>
    <col min="9950" max="9950" width="14.33203125" style="348" customWidth="1"/>
    <col min="9951" max="9951" width="17.109375" style="348" customWidth="1"/>
    <col min="9952" max="9952" width="126.109375" style="348" customWidth="1"/>
    <col min="9953" max="9953" width="9.109375" style="348" customWidth="1"/>
    <col min="9954" max="10203" width="8.88671875" style="348"/>
    <col min="10204" max="10204" width="16" style="348" customWidth="1"/>
    <col min="10205" max="10205" width="11" style="348" customWidth="1"/>
    <col min="10206" max="10206" width="14.33203125" style="348" customWidth="1"/>
    <col min="10207" max="10207" width="17.109375" style="348" customWidth="1"/>
    <col min="10208" max="10208" width="126.109375" style="348" customWidth="1"/>
    <col min="10209" max="10209" width="9.109375" style="348" customWidth="1"/>
    <col min="10210" max="10459" width="8.88671875" style="348"/>
    <col min="10460" max="10460" width="16" style="348" customWidth="1"/>
    <col min="10461" max="10461" width="11" style="348" customWidth="1"/>
    <col min="10462" max="10462" width="14.33203125" style="348" customWidth="1"/>
    <col min="10463" max="10463" width="17.109375" style="348" customWidth="1"/>
    <col min="10464" max="10464" width="126.109375" style="348" customWidth="1"/>
    <col min="10465" max="10465" width="9.109375" style="348" customWidth="1"/>
    <col min="10466" max="10715" width="8.88671875" style="348"/>
    <col min="10716" max="10716" width="16" style="348" customWidth="1"/>
    <col min="10717" max="10717" width="11" style="348" customWidth="1"/>
    <col min="10718" max="10718" width="14.33203125" style="348" customWidth="1"/>
    <col min="10719" max="10719" width="17.109375" style="348" customWidth="1"/>
    <col min="10720" max="10720" width="126.109375" style="348" customWidth="1"/>
    <col min="10721" max="10721" width="9.109375" style="348" customWidth="1"/>
    <col min="10722" max="10971" width="8.88671875" style="348"/>
    <col min="10972" max="10972" width="16" style="348" customWidth="1"/>
    <col min="10973" max="10973" width="11" style="348" customWidth="1"/>
    <col min="10974" max="10974" width="14.33203125" style="348" customWidth="1"/>
    <col min="10975" max="10975" width="17.109375" style="348" customWidth="1"/>
    <col min="10976" max="10976" width="126.109375" style="348" customWidth="1"/>
    <col min="10977" max="10977" width="9.109375" style="348" customWidth="1"/>
    <col min="10978" max="11227" width="8.88671875" style="348"/>
    <col min="11228" max="11228" width="16" style="348" customWidth="1"/>
    <col min="11229" max="11229" width="11" style="348" customWidth="1"/>
    <col min="11230" max="11230" width="14.33203125" style="348" customWidth="1"/>
    <col min="11231" max="11231" width="17.109375" style="348" customWidth="1"/>
    <col min="11232" max="11232" width="126.109375" style="348" customWidth="1"/>
    <col min="11233" max="11233" width="9.109375" style="348" customWidth="1"/>
    <col min="11234" max="11483" width="8.88671875" style="348"/>
    <col min="11484" max="11484" width="16" style="348" customWidth="1"/>
    <col min="11485" max="11485" width="11" style="348" customWidth="1"/>
    <col min="11486" max="11486" width="14.33203125" style="348" customWidth="1"/>
    <col min="11487" max="11487" width="17.109375" style="348" customWidth="1"/>
    <col min="11488" max="11488" width="126.109375" style="348" customWidth="1"/>
    <col min="11489" max="11489" width="9.109375" style="348" customWidth="1"/>
    <col min="11490" max="11739" width="8.88671875" style="348"/>
    <col min="11740" max="11740" width="16" style="348" customWidth="1"/>
    <col min="11741" max="11741" width="11" style="348" customWidth="1"/>
    <col min="11742" max="11742" width="14.33203125" style="348" customWidth="1"/>
    <col min="11743" max="11743" width="17.109375" style="348" customWidth="1"/>
    <col min="11744" max="11744" width="126.109375" style="348" customWidth="1"/>
    <col min="11745" max="11745" width="9.109375" style="348" customWidth="1"/>
    <col min="11746" max="11995" width="8.88671875" style="348"/>
    <col min="11996" max="11996" width="16" style="348" customWidth="1"/>
    <col min="11997" max="11997" width="11" style="348" customWidth="1"/>
    <col min="11998" max="11998" width="14.33203125" style="348" customWidth="1"/>
    <col min="11999" max="11999" width="17.109375" style="348" customWidth="1"/>
    <col min="12000" max="12000" width="126.109375" style="348" customWidth="1"/>
    <col min="12001" max="12001" width="9.109375" style="348" customWidth="1"/>
    <col min="12002" max="12251" width="8.88671875" style="348"/>
    <col min="12252" max="12252" width="16" style="348" customWidth="1"/>
    <col min="12253" max="12253" width="11" style="348" customWidth="1"/>
    <col min="12254" max="12254" width="14.33203125" style="348" customWidth="1"/>
    <col min="12255" max="12255" width="17.109375" style="348" customWidth="1"/>
    <col min="12256" max="12256" width="126.109375" style="348" customWidth="1"/>
    <col min="12257" max="12257" width="9.109375" style="348" customWidth="1"/>
    <col min="12258" max="12507" width="8.88671875" style="348"/>
    <col min="12508" max="12508" width="16" style="348" customWidth="1"/>
    <col min="12509" max="12509" width="11" style="348" customWidth="1"/>
    <col min="12510" max="12510" width="14.33203125" style="348" customWidth="1"/>
    <col min="12511" max="12511" width="17.109375" style="348" customWidth="1"/>
    <col min="12512" max="12512" width="126.109375" style="348" customWidth="1"/>
    <col min="12513" max="12513" width="9.109375" style="348" customWidth="1"/>
    <col min="12514" max="12763" width="8.88671875" style="348"/>
    <col min="12764" max="12764" width="16" style="348" customWidth="1"/>
    <col min="12765" max="12765" width="11" style="348" customWidth="1"/>
    <col min="12766" max="12766" width="14.33203125" style="348" customWidth="1"/>
    <col min="12767" max="12767" width="17.109375" style="348" customWidth="1"/>
    <col min="12768" max="12768" width="126.109375" style="348" customWidth="1"/>
    <col min="12769" max="12769" width="9.109375" style="348" customWidth="1"/>
    <col min="12770" max="13019" width="8.88671875" style="348"/>
    <col min="13020" max="13020" width="16" style="348" customWidth="1"/>
    <col min="13021" max="13021" width="11" style="348" customWidth="1"/>
    <col min="13022" max="13022" width="14.33203125" style="348" customWidth="1"/>
    <col min="13023" max="13023" width="17.109375" style="348" customWidth="1"/>
    <col min="13024" max="13024" width="126.109375" style="348" customWidth="1"/>
    <col min="13025" max="13025" width="9.109375" style="348" customWidth="1"/>
    <col min="13026" max="13275" width="8.88671875" style="348"/>
    <col min="13276" max="13276" width="16" style="348" customWidth="1"/>
    <col min="13277" max="13277" width="11" style="348" customWidth="1"/>
    <col min="13278" max="13278" width="14.33203125" style="348" customWidth="1"/>
    <col min="13279" max="13279" width="17.109375" style="348" customWidth="1"/>
    <col min="13280" max="13280" width="126.109375" style="348" customWidth="1"/>
    <col min="13281" max="13281" width="9.109375" style="348" customWidth="1"/>
    <col min="13282" max="13531" width="8.88671875" style="348"/>
    <col min="13532" max="13532" width="16" style="348" customWidth="1"/>
    <col min="13533" max="13533" width="11" style="348" customWidth="1"/>
    <col min="13534" max="13534" width="14.33203125" style="348" customWidth="1"/>
    <col min="13535" max="13535" width="17.109375" style="348" customWidth="1"/>
    <col min="13536" max="13536" width="126.109375" style="348" customWidth="1"/>
    <col min="13537" max="13537" width="9.109375" style="348" customWidth="1"/>
    <col min="13538" max="13787" width="8.88671875" style="348"/>
    <col min="13788" max="13788" width="16" style="348" customWidth="1"/>
    <col min="13789" max="13789" width="11" style="348" customWidth="1"/>
    <col min="13790" max="13790" width="14.33203125" style="348" customWidth="1"/>
    <col min="13791" max="13791" width="17.109375" style="348" customWidth="1"/>
    <col min="13792" max="13792" width="126.109375" style="348" customWidth="1"/>
    <col min="13793" max="13793" width="9.109375" style="348" customWidth="1"/>
    <col min="13794" max="14043" width="8.88671875" style="348"/>
    <col min="14044" max="14044" width="16" style="348" customWidth="1"/>
    <col min="14045" max="14045" width="11" style="348" customWidth="1"/>
    <col min="14046" max="14046" width="14.33203125" style="348" customWidth="1"/>
    <col min="14047" max="14047" width="17.109375" style="348" customWidth="1"/>
    <col min="14048" max="14048" width="126.109375" style="348" customWidth="1"/>
    <col min="14049" max="14049" width="9.109375" style="348" customWidth="1"/>
    <col min="14050" max="14299" width="8.88671875" style="348"/>
    <col min="14300" max="14300" width="16" style="348" customWidth="1"/>
    <col min="14301" max="14301" width="11" style="348" customWidth="1"/>
    <col min="14302" max="14302" width="14.33203125" style="348" customWidth="1"/>
    <col min="14303" max="14303" width="17.109375" style="348" customWidth="1"/>
    <col min="14304" max="14304" width="126.109375" style="348" customWidth="1"/>
    <col min="14305" max="14305" width="9.109375" style="348" customWidth="1"/>
    <col min="14306" max="14555" width="8.88671875" style="348"/>
    <col min="14556" max="14556" width="16" style="348" customWidth="1"/>
    <col min="14557" max="14557" width="11" style="348" customWidth="1"/>
    <col min="14558" max="14558" width="14.33203125" style="348" customWidth="1"/>
    <col min="14559" max="14559" width="17.109375" style="348" customWidth="1"/>
    <col min="14560" max="14560" width="126.109375" style="348" customWidth="1"/>
    <col min="14561" max="14561" width="9.109375" style="348" customWidth="1"/>
    <col min="14562" max="14811" width="8.88671875" style="348"/>
    <col min="14812" max="14812" width="16" style="348" customWidth="1"/>
    <col min="14813" max="14813" width="11" style="348" customWidth="1"/>
    <col min="14814" max="14814" width="14.33203125" style="348" customWidth="1"/>
    <col min="14815" max="14815" width="17.109375" style="348" customWidth="1"/>
    <col min="14816" max="14816" width="126.109375" style="348" customWidth="1"/>
    <col min="14817" max="14817" width="9.109375" style="348" customWidth="1"/>
    <col min="14818" max="15067" width="8.88671875" style="348"/>
    <col min="15068" max="15068" width="16" style="348" customWidth="1"/>
    <col min="15069" max="15069" width="11" style="348" customWidth="1"/>
    <col min="15070" max="15070" width="14.33203125" style="348" customWidth="1"/>
    <col min="15071" max="15071" width="17.109375" style="348" customWidth="1"/>
    <col min="15072" max="15072" width="126.109375" style="348" customWidth="1"/>
    <col min="15073" max="15073" width="9.109375" style="348" customWidth="1"/>
    <col min="15074" max="15323" width="8.88671875" style="348"/>
    <col min="15324" max="15324" width="16" style="348" customWidth="1"/>
    <col min="15325" max="15325" width="11" style="348" customWidth="1"/>
    <col min="15326" max="15326" width="14.33203125" style="348" customWidth="1"/>
    <col min="15327" max="15327" width="17.109375" style="348" customWidth="1"/>
    <col min="15328" max="15328" width="126.109375" style="348" customWidth="1"/>
    <col min="15329" max="15329" width="9.109375" style="348" customWidth="1"/>
    <col min="15330" max="15579" width="8.88671875" style="348"/>
    <col min="15580" max="15580" width="16" style="348" customWidth="1"/>
    <col min="15581" max="15581" width="11" style="348" customWidth="1"/>
    <col min="15582" max="15582" width="14.33203125" style="348" customWidth="1"/>
    <col min="15583" max="15583" width="17.109375" style="348" customWidth="1"/>
    <col min="15584" max="15584" width="126.109375" style="348" customWidth="1"/>
    <col min="15585" max="15585" width="9.109375" style="348" customWidth="1"/>
    <col min="15586" max="15835" width="8.88671875" style="348"/>
    <col min="15836" max="15836" width="16" style="348" customWidth="1"/>
    <col min="15837" max="15837" width="11" style="348" customWidth="1"/>
    <col min="15838" max="15838" width="14.33203125" style="348" customWidth="1"/>
    <col min="15839" max="15839" width="17.109375" style="348" customWidth="1"/>
    <col min="15840" max="15840" width="126.109375" style="348" customWidth="1"/>
    <col min="15841" max="15841" width="9.109375" style="348" customWidth="1"/>
    <col min="15842" max="16091" width="8.88671875" style="348"/>
    <col min="16092" max="16092" width="16" style="348" customWidth="1"/>
    <col min="16093" max="16093" width="11" style="348" customWidth="1"/>
    <col min="16094" max="16094" width="14.33203125" style="348" customWidth="1"/>
    <col min="16095" max="16095" width="17.109375" style="348" customWidth="1"/>
    <col min="16096" max="16096" width="126.109375" style="348" customWidth="1"/>
    <col min="16097" max="16097" width="9.109375" style="348" customWidth="1"/>
    <col min="16098" max="16384" width="8.88671875" style="348"/>
  </cols>
  <sheetData>
    <row r="1" spans="1:5" ht="52.5" customHeight="1" x14ac:dyDescent="0.3">
      <c r="A1" s="343"/>
      <c r="B1" s="344"/>
      <c r="C1" s="345"/>
      <c r="D1" s="346"/>
      <c r="E1" s="347" t="s">
        <v>1107</v>
      </c>
    </row>
    <row r="2" spans="1:5" ht="19.2" customHeight="1" x14ac:dyDescent="0.3">
      <c r="A2" s="343"/>
      <c r="B2" s="344"/>
      <c r="C2" s="345"/>
      <c r="D2" s="346"/>
      <c r="E2" s="347" t="s">
        <v>1459</v>
      </c>
    </row>
    <row r="3" spans="1:5" ht="19.2" hidden="1" customHeight="1" x14ac:dyDescent="0.3">
      <c r="A3" s="343"/>
      <c r="B3" s="344"/>
      <c r="C3" s="345"/>
      <c r="D3" s="346"/>
      <c r="E3" s="349"/>
    </row>
    <row r="4" spans="1:5" ht="37.5" customHeight="1" x14ac:dyDescent="0.3">
      <c r="A4" s="1425" t="s">
        <v>1147</v>
      </c>
      <c r="B4" s="1425"/>
      <c r="C4" s="1425"/>
      <c r="D4" s="1425"/>
      <c r="E4" s="1425"/>
    </row>
    <row r="5" spans="1:5" ht="15" x14ac:dyDescent="0.3">
      <c r="A5" s="1426" t="s">
        <v>744</v>
      </c>
      <c r="B5" s="1427"/>
      <c r="C5" s="1427"/>
      <c r="D5" s="1427"/>
      <c r="E5" s="1427"/>
    </row>
    <row r="6" spans="1:5" ht="16.2" thickBot="1" x14ac:dyDescent="0.35">
      <c r="A6" s="1428" t="s">
        <v>745</v>
      </c>
      <c r="B6" s="1428"/>
      <c r="C6" s="1428"/>
      <c r="D6" s="350"/>
      <c r="E6" s="350" t="s">
        <v>746</v>
      </c>
    </row>
    <row r="7" spans="1:5" s="356" customFormat="1" ht="72" customHeight="1" thickBot="1" x14ac:dyDescent="0.35">
      <c r="A7" s="351" t="s">
        <v>747</v>
      </c>
      <c r="B7" s="352" t="s">
        <v>748</v>
      </c>
      <c r="C7" s="353" t="s">
        <v>749</v>
      </c>
      <c r="D7" s="354" t="s">
        <v>750</v>
      </c>
      <c r="E7" s="355" t="s">
        <v>751</v>
      </c>
    </row>
    <row r="8" spans="1:5" s="356" customFormat="1" ht="65.400000000000006" hidden="1" x14ac:dyDescent="0.3">
      <c r="A8" s="357" t="s">
        <v>752</v>
      </c>
      <c r="B8" s="358" t="s">
        <v>440</v>
      </c>
      <c r="C8" s="1180"/>
      <c r="D8" s="577" t="s">
        <v>1377</v>
      </c>
      <c r="E8" s="578" t="s">
        <v>1344</v>
      </c>
    </row>
    <row r="9" spans="1:5" s="356" customFormat="1" ht="112.2" hidden="1" x14ac:dyDescent="0.3">
      <c r="A9" s="360" t="s">
        <v>752</v>
      </c>
      <c r="B9" s="358" t="s">
        <v>440</v>
      </c>
      <c r="C9" s="673"/>
      <c r="D9" s="363" t="s">
        <v>1226</v>
      </c>
      <c r="E9" s="362" t="s">
        <v>1254</v>
      </c>
    </row>
    <row r="10" spans="1:5" s="361" customFormat="1" ht="61.95" hidden="1" customHeight="1" x14ac:dyDescent="0.3">
      <c r="A10" s="360" t="s">
        <v>752</v>
      </c>
      <c r="B10" s="358" t="s">
        <v>440</v>
      </c>
      <c r="C10" s="1223"/>
      <c r="D10" s="363" t="s">
        <v>1294</v>
      </c>
      <c r="E10" s="362" t="s">
        <v>1289</v>
      </c>
    </row>
    <row r="11" spans="1:5" s="361" customFormat="1" ht="70.2" hidden="1" customHeight="1" x14ac:dyDescent="0.3">
      <c r="A11" s="360" t="s">
        <v>752</v>
      </c>
      <c r="B11" s="358" t="s">
        <v>440</v>
      </c>
      <c r="C11" s="1223"/>
      <c r="D11" s="363" t="s">
        <v>1294</v>
      </c>
      <c r="E11" s="362" t="s">
        <v>1001</v>
      </c>
    </row>
    <row r="12" spans="1:5" s="361" customFormat="1" ht="62.4" hidden="1" x14ac:dyDescent="0.3">
      <c r="A12" s="360" t="s">
        <v>752</v>
      </c>
      <c r="B12" s="358" t="s">
        <v>440</v>
      </c>
      <c r="C12" s="1223"/>
      <c r="D12" s="363" t="s">
        <v>1294</v>
      </c>
      <c r="E12" s="362" t="s">
        <v>1305</v>
      </c>
    </row>
    <row r="13" spans="1:5" s="361" customFormat="1" ht="41.25" hidden="1" customHeight="1" x14ac:dyDescent="0.3">
      <c r="A13" s="364" t="s">
        <v>752</v>
      </c>
      <c r="B13" s="365" t="s">
        <v>440</v>
      </c>
      <c r="C13" s="1225"/>
      <c r="D13" s="387" t="s">
        <v>976</v>
      </c>
      <c r="E13" s="362" t="s">
        <v>974</v>
      </c>
    </row>
    <row r="14" spans="1:5" s="361" customFormat="1" ht="88.5" hidden="1" customHeight="1" x14ac:dyDescent="0.3">
      <c r="A14" s="364" t="s">
        <v>752</v>
      </c>
      <c r="B14" s="366" t="s">
        <v>679</v>
      </c>
      <c r="C14" s="252"/>
      <c r="D14" s="252" t="s">
        <v>753</v>
      </c>
      <c r="E14" s="362" t="s">
        <v>754</v>
      </c>
    </row>
    <row r="15" spans="1:5" s="361" customFormat="1" ht="46.8" hidden="1" x14ac:dyDescent="0.3">
      <c r="A15" s="364" t="s">
        <v>752</v>
      </c>
      <c r="B15" s="366" t="s">
        <v>443</v>
      </c>
      <c r="C15" s="252"/>
      <c r="D15" s="363" t="s">
        <v>1301</v>
      </c>
      <c r="E15" s="359" t="s">
        <v>1297</v>
      </c>
    </row>
    <row r="16" spans="1:5" s="361" customFormat="1" ht="31.2" hidden="1" x14ac:dyDescent="0.3">
      <c r="A16" s="364" t="s">
        <v>752</v>
      </c>
      <c r="B16" s="366" t="s">
        <v>443</v>
      </c>
      <c r="C16" s="252"/>
      <c r="D16" s="363" t="s">
        <v>1301</v>
      </c>
      <c r="E16" s="367" t="s">
        <v>1324</v>
      </c>
    </row>
    <row r="17" spans="1:5" s="361" customFormat="1" ht="31.2" hidden="1" x14ac:dyDescent="0.3">
      <c r="A17" s="364" t="s">
        <v>752</v>
      </c>
      <c r="B17" s="366" t="s">
        <v>443</v>
      </c>
      <c r="C17" s="1221"/>
      <c r="D17" s="363" t="s">
        <v>1301</v>
      </c>
      <c r="E17" s="367" t="s">
        <v>1317</v>
      </c>
    </row>
    <row r="18" spans="1:5" s="361" customFormat="1" ht="62.4" hidden="1" x14ac:dyDescent="0.3">
      <c r="A18" s="364" t="s">
        <v>752</v>
      </c>
      <c r="B18" s="366" t="s">
        <v>443</v>
      </c>
      <c r="C18" s="1221"/>
      <c r="D18" s="363" t="s">
        <v>1337</v>
      </c>
      <c r="E18" s="720" t="s">
        <v>1338</v>
      </c>
    </row>
    <row r="19" spans="1:5" s="361" customFormat="1" ht="78.75" hidden="1" customHeight="1" thickBot="1" x14ac:dyDescent="0.35">
      <c r="A19" s="368" t="s">
        <v>752</v>
      </c>
      <c r="B19" s="366" t="s">
        <v>443</v>
      </c>
      <c r="C19" s="1221"/>
      <c r="D19" s="314" t="s">
        <v>978</v>
      </c>
      <c r="E19" s="369" t="s">
        <v>979</v>
      </c>
    </row>
    <row r="20" spans="1:5" s="361" customFormat="1" ht="46.8" hidden="1" x14ac:dyDescent="0.3">
      <c r="A20" s="370" t="s">
        <v>752</v>
      </c>
      <c r="B20" s="371" t="s">
        <v>457</v>
      </c>
      <c r="C20" s="1224"/>
      <c r="D20" s="363" t="s">
        <v>1045</v>
      </c>
      <c r="E20" s="372" t="s">
        <v>1069</v>
      </c>
    </row>
    <row r="21" spans="1:5" s="361" customFormat="1" ht="46.8" hidden="1" x14ac:dyDescent="0.3">
      <c r="A21" s="364" t="s">
        <v>752</v>
      </c>
      <c r="B21" s="366" t="s">
        <v>461</v>
      </c>
      <c r="C21" s="252"/>
      <c r="D21" s="314" t="s">
        <v>1022</v>
      </c>
      <c r="E21" s="717" t="s">
        <v>1024</v>
      </c>
    </row>
    <row r="22" spans="1:5" s="361" customFormat="1" ht="62.4" hidden="1" x14ac:dyDescent="0.3">
      <c r="A22" s="364" t="s">
        <v>752</v>
      </c>
      <c r="B22" s="366" t="s">
        <v>455</v>
      </c>
      <c r="C22" s="252"/>
      <c r="D22" s="695" t="s">
        <v>1405</v>
      </c>
      <c r="E22" s="717" t="s">
        <v>1403</v>
      </c>
    </row>
    <row r="23" spans="1:5" s="361" customFormat="1" ht="46.8" hidden="1" x14ac:dyDescent="0.3">
      <c r="A23" s="364" t="s">
        <v>752</v>
      </c>
      <c r="B23" s="373" t="s">
        <v>461</v>
      </c>
      <c r="C23" s="252"/>
      <c r="D23" s="695" t="s">
        <v>1418</v>
      </c>
      <c r="E23" s="717" t="s">
        <v>1415</v>
      </c>
    </row>
    <row r="24" spans="1:5" s="361" customFormat="1" ht="78" hidden="1" x14ac:dyDescent="0.3">
      <c r="A24" s="364" t="s">
        <v>752</v>
      </c>
      <c r="B24" s="366" t="s">
        <v>462</v>
      </c>
      <c r="C24" s="1019"/>
      <c r="D24" s="314" t="s">
        <v>1290</v>
      </c>
      <c r="E24" s="717" t="s">
        <v>1325</v>
      </c>
    </row>
    <row r="25" spans="1:5" s="361" customFormat="1" ht="31.2" hidden="1" x14ac:dyDescent="0.3">
      <c r="A25" s="364" t="s">
        <v>752</v>
      </c>
      <c r="B25" s="373" t="s">
        <v>462</v>
      </c>
      <c r="C25" s="374"/>
      <c r="D25" s="314" t="s">
        <v>1049</v>
      </c>
      <c r="E25" s="362" t="s">
        <v>1050</v>
      </c>
    </row>
    <row r="26" spans="1:5" s="361" customFormat="1" ht="37.950000000000003" hidden="1" customHeight="1" x14ac:dyDescent="0.3">
      <c r="A26" s="364" t="s">
        <v>752</v>
      </c>
      <c r="B26" s="373" t="s">
        <v>462</v>
      </c>
      <c r="C26" s="374"/>
      <c r="D26" s="314" t="s">
        <v>1049</v>
      </c>
      <c r="E26" s="362" t="s">
        <v>1063</v>
      </c>
    </row>
    <row r="27" spans="1:5" s="361" customFormat="1" ht="46.8" hidden="1" x14ac:dyDescent="0.3">
      <c r="A27" s="364" t="s">
        <v>752</v>
      </c>
      <c r="B27" s="373" t="s">
        <v>462</v>
      </c>
      <c r="C27" s="696"/>
      <c r="D27" s="314" t="s">
        <v>935</v>
      </c>
      <c r="E27" s="359" t="s">
        <v>934</v>
      </c>
    </row>
    <row r="28" spans="1:5" s="361" customFormat="1" ht="31.2" hidden="1" x14ac:dyDescent="0.3">
      <c r="A28" s="364" t="s">
        <v>752</v>
      </c>
      <c r="B28" s="366" t="s">
        <v>462</v>
      </c>
      <c r="C28" s="374"/>
      <c r="D28" s="314" t="s">
        <v>1256</v>
      </c>
      <c r="E28" s="362" t="s">
        <v>1283</v>
      </c>
    </row>
    <row r="29" spans="1:5" s="361" customFormat="1" ht="78" hidden="1" x14ac:dyDescent="0.3">
      <c r="A29" s="364" t="s">
        <v>752</v>
      </c>
      <c r="B29" s="373" t="s">
        <v>681</v>
      </c>
      <c r="C29" s="314"/>
      <c r="D29" s="314" t="s">
        <v>755</v>
      </c>
      <c r="E29" s="359" t="s">
        <v>756</v>
      </c>
    </row>
    <row r="30" spans="1:5" s="361" customFormat="1" ht="46.8" hidden="1" x14ac:dyDescent="0.3">
      <c r="A30" s="364" t="s">
        <v>752</v>
      </c>
      <c r="B30" s="373" t="s">
        <v>684</v>
      </c>
      <c r="C30" s="374"/>
      <c r="D30" s="374" t="s">
        <v>757</v>
      </c>
      <c r="E30" s="362" t="s">
        <v>758</v>
      </c>
    </row>
    <row r="31" spans="1:5" s="377" customFormat="1" ht="46.8" hidden="1" x14ac:dyDescent="0.3">
      <c r="A31" s="375" t="s">
        <v>752</v>
      </c>
      <c r="B31" s="376" t="s">
        <v>684</v>
      </c>
      <c r="C31" s="374"/>
      <c r="D31" s="374" t="s">
        <v>757</v>
      </c>
      <c r="E31" s="362" t="s">
        <v>759</v>
      </c>
    </row>
    <row r="32" spans="1:5" s="361" customFormat="1" ht="98.25" hidden="1" customHeight="1" x14ac:dyDescent="0.3">
      <c r="A32" s="364" t="s">
        <v>752</v>
      </c>
      <c r="B32" s="373" t="s">
        <v>463</v>
      </c>
      <c r="C32" s="314"/>
      <c r="D32" s="252" t="s">
        <v>760</v>
      </c>
      <c r="E32" s="359" t="s">
        <v>761</v>
      </c>
    </row>
    <row r="33" spans="1:5" s="361" customFormat="1" ht="65.400000000000006" hidden="1" x14ac:dyDescent="0.3">
      <c r="A33" s="364" t="s">
        <v>752</v>
      </c>
      <c r="B33" s="376" t="s">
        <v>463</v>
      </c>
      <c r="C33" s="736"/>
      <c r="D33" s="363" t="s">
        <v>1171</v>
      </c>
      <c r="E33" s="711" t="s">
        <v>1210</v>
      </c>
    </row>
    <row r="34" spans="1:5" s="361" customFormat="1" ht="65.400000000000006" hidden="1" x14ac:dyDescent="0.3">
      <c r="A34" s="364" t="s">
        <v>752</v>
      </c>
      <c r="B34" s="378" t="s">
        <v>463</v>
      </c>
      <c r="C34" s="736"/>
      <c r="D34" s="363" t="s">
        <v>1171</v>
      </c>
      <c r="E34" s="711" t="s">
        <v>1211</v>
      </c>
    </row>
    <row r="35" spans="1:5" s="361" customFormat="1" ht="65.400000000000006" hidden="1" x14ac:dyDescent="0.3">
      <c r="A35" s="364" t="s">
        <v>752</v>
      </c>
      <c r="B35" s="376" t="s">
        <v>463</v>
      </c>
      <c r="C35" s="736"/>
      <c r="D35" s="363" t="s">
        <v>1201</v>
      </c>
      <c r="E35" s="711" t="s">
        <v>1202</v>
      </c>
    </row>
    <row r="36" spans="1:5" s="361" customFormat="1" ht="31.2" hidden="1" x14ac:dyDescent="0.3">
      <c r="A36" s="364" t="s">
        <v>752</v>
      </c>
      <c r="B36" s="376" t="s">
        <v>463</v>
      </c>
      <c r="C36" s="736"/>
      <c r="D36" s="363" t="s">
        <v>971</v>
      </c>
      <c r="E36" s="711" t="s">
        <v>1179</v>
      </c>
    </row>
    <row r="37" spans="1:5" s="361" customFormat="1" ht="88.5" hidden="1" customHeight="1" x14ac:dyDescent="0.3">
      <c r="A37" s="364" t="s">
        <v>752</v>
      </c>
      <c r="B37" s="373" t="s">
        <v>463</v>
      </c>
      <c r="C37" s="374"/>
      <c r="D37" s="374" t="s">
        <v>1311</v>
      </c>
      <c r="E37" s="578" t="s">
        <v>1268</v>
      </c>
    </row>
    <row r="38" spans="1:5" s="361" customFormat="1" ht="75.75" hidden="1" customHeight="1" x14ac:dyDescent="0.3">
      <c r="A38" s="364" t="s">
        <v>752</v>
      </c>
      <c r="B38" s="373" t="s">
        <v>463</v>
      </c>
      <c r="C38" s="736"/>
      <c r="D38" s="374" t="s">
        <v>1311</v>
      </c>
      <c r="E38" s="578" t="s">
        <v>1180</v>
      </c>
    </row>
    <row r="39" spans="1:5" s="361" customFormat="1" ht="38.4" hidden="1" customHeight="1" x14ac:dyDescent="0.3">
      <c r="A39" s="364" t="s">
        <v>752</v>
      </c>
      <c r="B39" s="376" t="s">
        <v>464</v>
      </c>
      <c r="C39" s="1180"/>
      <c r="D39" s="374" t="s">
        <v>1311</v>
      </c>
      <c r="E39" s="578" t="s">
        <v>1181</v>
      </c>
    </row>
    <row r="40" spans="1:5" s="361" customFormat="1" ht="43.2" hidden="1" customHeight="1" x14ac:dyDescent="0.3">
      <c r="A40" s="364" t="s">
        <v>752</v>
      </c>
      <c r="B40" s="376" t="s">
        <v>464</v>
      </c>
      <c r="C40" s="1180"/>
      <c r="D40" s="374" t="s">
        <v>1311</v>
      </c>
      <c r="E40" s="578" t="s">
        <v>1182</v>
      </c>
    </row>
    <row r="41" spans="1:5" s="361" customFormat="1" ht="48.6" hidden="1" customHeight="1" x14ac:dyDescent="0.3">
      <c r="A41" s="364" t="s">
        <v>752</v>
      </c>
      <c r="B41" s="373" t="s">
        <v>464</v>
      </c>
      <c r="C41" s="1180"/>
      <c r="D41" s="374" t="s">
        <v>1311</v>
      </c>
      <c r="E41" s="578" t="s">
        <v>1183</v>
      </c>
    </row>
    <row r="42" spans="1:5" s="361" customFormat="1" ht="65.400000000000006" hidden="1" x14ac:dyDescent="0.3">
      <c r="A42" s="364" t="s">
        <v>752</v>
      </c>
      <c r="B42" s="373" t="s">
        <v>687</v>
      </c>
      <c r="C42" s="576"/>
      <c r="D42" s="577" t="s">
        <v>1377</v>
      </c>
      <c r="E42" s="578" t="s">
        <v>1394</v>
      </c>
    </row>
    <row r="43" spans="1:5" s="361" customFormat="1" ht="65.400000000000006" hidden="1" x14ac:dyDescent="0.3">
      <c r="A43" s="364" t="s">
        <v>752</v>
      </c>
      <c r="B43" s="373" t="s">
        <v>687</v>
      </c>
      <c r="C43" s="736"/>
      <c r="D43" s="374" t="s">
        <v>1311</v>
      </c>
      <c r="E43" s="578" t="s">
        <v>1383</v>
      </c>
    </row>
    <row r="44" spans="1:5" s="361" customFormat="1" ht="112.2" hidden="1" customHeight="1" x14ac:dyDescent="0.3">
      <c r="A44" s="364" t="s">
        <v>752</v>
      </c>
      <c r="B44" s="723" t="s">
        <v>687</v>
      </c>
      <c r="C44" s="736"/>
      <c r="D44" s="374" t="s">
        <v>1311</v>
      </c>
      <c r="E44" s="578" t="s">
        <v>1187</v>
      </c>
    </row>
    <row r="45" spans="1:5" s="361" customFormat="1" ht="62.4" hidden="1" customHeight="1" x14ac:dyDescent="0.3">
      <c r="A45" s="364" t="s">
        <v>752</v>
      </c>
      <c r="B45" s="723" t="s">
        <v>687</v>
      </c>
      <c r="C45" s="374"/>
      <c r="D45" s="374" t="s">
        <v>1311</v>
      </c>
      <c r="E45" s="578" t="s">
        <v>1267</v>
      </c>
    </row>
    <row r="46" spans="1:5" s="361" customFormat="1" ht="109.2" hidden="1" customHeight="1" x14ac:dyDescent="0.3">
      <c r="A46" s="364" t="s">
        <v>752</v>
      </c>
      <c r="B46" s="723" t="s">
        <v>687</v>
      </c>
      <c r="C46" s="577"/>
      <c r="D46" s="374"/>
      <c r="E46" s="578" t="s">
        <v>1038</v>
      </c>
    </row>
    <row r="47" spans="1:5" s="361" customFormat="1" ht="83.25" hidden="1" customHeight="1" x14ac:dyDescent="0.3">
      <c r="A47" s="382" t="s">
        <v>752</v>
      </c>
      <c r="B47" s="366" t="s">
        <v>687</v>
      </c>
      <c r="C47" s="718"/>
      <c r="D47" s="374"/>
      <c r="E47" s="362" t="s">
        <v>984</v>
      </c>
    </row>
    <row r="48" spans="1:5" s="361" customFormat="1" ht="46.8" x14ac:dyDescent="0.3">
      <c r="A48" s="364" t="s">
        <v>752</v>
      </c>
      <c r="B48" s="373" t="s">
        <v>466</v>
      </c>
      <c r="C48" s="374">
        <v>-188244</v>
      </c>
      <c r="D48" s="695" t="s">
        <v>1405</v>
      </c>
      <c r="E48" s="720" t="s">
        <v>1448</v>
      </c>
    </row>
    <row r="49" spans="1:5" s="361" customFormat="1" ht="31.2" hidden="1" x14ac:dyDescent="0.3">
      <c r="A49" s="364" t="s">
        <v>752</v>
      </c>
      <c r="B49" s="373" t="s">
        <v>466</v>
      </c>
      <c r="C49" s="374"/>
      <c r="D49" s="695" t="s">
        <v>1418</v>
      </c>
      <c r="E49" s="720" t="s">
        <v>1416</v>
      </c>
    </row>
    <row r="50" spans="1:5" s="361" customFormat="1" ht="59.4" hidden="1" customHeight="1" x14ac:dyDescent="0.3">
      <c r="A50" s="375" t="s">
        <v>752</v>
      </c>
      <c r="B50" s="376" t="s">
        <v>466</v>
      </c>
      <c r="C50" s="374"/>
      <c r="D50" s="374" t="s">
        <v>1311</v>
      </c>
      <c r="E50" s="720" t="s">
        <v>1298</v>
      </c>
    </row>
    <row r="51" spans="1:5" s="361" customFormat="1" ht="31.2" hidden="1" x14ac:dyDescent="0.3">
      <c r="A51" s="364" t="s">
        <v>752</v>
      </c>
      <c r="B51" s="373" t="s">
        <v>466</v>
      </c>
      <c r="C51" s="575"/>
      <c r="D51" s="374" t="s">
        <v>1311</v>
      </c>
      <c r="E51" s="720" t="s">
        <v>1326</v>
      </c>
    </row>
    <row r="52" spans="1:5" s="361" customFormat="1" ht="31.2" hidden="1" x14ac:dyDescent="0.3">
      <c r="A52" s="364" t="s">
        <v>752</v>
      </c>
      <c r="B52" s="373" t="s">
        <v>466</v>
      </c>
      <c r="C52" s="1223"/>
      <c r="D52" s="363" t="s">
        <v>1294</v>
      </c>
      <c r="E52" s="720" t="s">
        <v>1327</v>
      </c>
    </row>
    <row r="53" spans="1:5" s="361" customFormat="1" ht="31.2" hidden="1" x14ac:dyDescent="0.3">
      <c r="A53" s="364" t="s">
        <v>752</v>
      </c>
      <c r="B53" s="373" t="s">
        <v>466</v>
      </c>
      <c r="C53" s="252"/>
      <c r="D53" s="363" t="s">
        <v>1301</v>
      </c>
      <c r="E53" s="359" t="s">
        <v>1299</v>
      </c>
    </row>
    <row r="54" spans="1:5" s="361" customFormat="1" ht="31.2" hidden="1" x14ac:dyDescent="0.3">
      <c r="A54" s="364" t="s">
        <v>752</v>
      </c>
      <c r="B54" s="373" t="s">
        <v>466</v>
      </c>
      <c r="C54" s="252"/>
      <c r="D54" s="363" t="s">
        <v>1301</v>
      </c>
      <c r="E54" s="359" t="s">
        <v>1319</v>
      </c>
    </row>
    <row r="55" spans="1:5" s="361" customFormat="1" ht="46.8" hidden="1" x14ac:dyDescent="0.3">
      <c r="A55" s="364" t="s">
        <v>752</v>
      </c>
      <c r="B55" s="373" t="s">
        <v>466</v>
      </c>
      <c r="C55" s="252"/>
      <c r="D55" s="363" t="s">
        <v>1301</v>
      </c>
      <c r="E55" s="359" t="s">
        <v>1314</v>
      </c>
    </row>
    <row r="56" spans="1:5" s="361" customFormat="1" ht="82.2" hidden="1" customHeight="1" x14ac:dyDescent="0.3">
      <c r="A56" s="364" t="s">
        <v>752</v>
      </c>
      <c r="B56" s="373" t="s">
        <v>466</v>
      </c>
      <c r="C56" s="252"/>
      <c r="D56" s="363" t="s">
        <v>1301</v>
      </c>
      <c r="E56" s="578" t="s">
        <v>1318</v>
      </c>
    </row>
    <row r="57" spans="1:5" s="361" customFormat="1" ht="75" hidden="1" customHeight="1" x14ac:dyDescent="0.3">
      <c r="A57" s="364" t="s">
        <v>752</v>
      </c>
      <c r="B57" s="373" t="s">
        <v>466</v>
      </c>
      <c r="C57" s="374"/>
      <c r="D57" s="374"/>
      <c r="E57" s="720" t="s">
        <v>1284</v>
      </c>
    </row>
    <row r="58" spans="1:5" s="361" customFormat="1" ht="49.8" hidden="1" x14ac:dyDescent="0.3">
      <c r="A58" s="364" t="s">
        <v>752</v>
      </c>
      <c r="B58" s="373" t="s">
        <v>466</v>
      </c>
      <c r="C58" s="736"/>
      <c r="D58" s="1281" t="s">
        <v>1220</v>
      </c>
      <c r="E58" s="720" t="s">
        <v>1343</v>
      </c>
    </row>
    <row r="59" spans="1:5" s="361" customFormat="1" ht="46.8" hidden="1" x14ac:dyDescent="0.3">
      <c r="A59" s="364" t="s">
        <v>752</v>
      </c>
      <c r="B59" s="373" t="s">
        <v>466</v>
      </c>
      <c r="C59" s="736"/>
      <c r="D59" s="252" t="s">
        <v>1220</v>
      </c>
      <c r="E59" s="720" t="s">
        <v>762</v>
      </c>
    </row>
    <row r="60" spans="1:5" s="361" customFormat="1" ht="49.8" hidden="1" x14ac:dyDescent="0.3">
      <c r="A60" s="364" t="s">
        <v>752</v>
      </c>
      <c r="B60" s="378" t="s">
        <v>466</v>
      </c>
      <c r="C60" s="736"/>
      <c r="D60" s="577" t="s">
        <v>1377</v>
      </c>
      <c r="E60" s="720" t="s">
        <v>1345</v>
      </c>
    </row>
    <row r="61" spans="1:5" s="361" customFormat="1" ht="49.8" hidden="1" x14ac:dyDescent="0.3">
      <c r="A61" s="364" t="s">
        <v>752</v>
      </c>
      <c r="B61" s="366" t="s">
        <v>466</v>
      </c>
      <c r="C61" s="736"/>
      <c r="D61" s="577" t="s">
        <v>1377</v>
      </c>
      <c r="E61" s="720" t="s">
        <v>1222</v>
      </c>
    </row>
    <row r="62" spans="1:5" s="361" customFormat="1" ht="49.8" hidden="1" x14ac:dyDescent="0.3">
      <c r="A62" s="364" t="s">
        <v>752</v>
      </c>
      <c r="B62" s="366" t="s">
        <v>466</v>
      </c>
      <c r="C62" s="736"/>
      <c r="D62" s="577" t="s">
        <v>1377</v>
      </c>
      <c r="E62" s="720" t="s">
        <v>1221</v>
      </c>
    </row>
    <row r="63" spans="1:5" s="361" customFormat="1" ht="49.8" hidden="1" x14ac:dyDescent="0.3">
      <c r="A63" s="364" t="s">
        <v>752</v>
      </c>
      <c r="B63" s="366" t="s">
        <v>466</v>
      </c>
      <c r="C63" s="736"/>
      <c r="D63" s="577" t="s">
        <v>1377</v>
      </c>
      <c r="E63" s="720" t="s">
        <v>1223</v>
      </c>
    </row>
    <row r="64" spans="1:5" s="361" customFormat="1" ht="62.4" hidden="1" x14ac:dyDescent="0.3">
      <c r="A64" s="364" t="s">
        <v>752</v>
      </c>
      <c r="B64" s="366" t="s">
        <v>466</v>
      </c>
      <c r="C64" s="736"/>
      <c r="D64" s="577" t="s">
        <v>1377</v>
      </c>
      <c r="E64" s="720" t="s">
        <v>1139</v>
      </c>
    </row>
    <row r="65" spans="1:5" s="361" customFormat="1" ht="62.4" hidden="1" customHeight="1" x14ac:dyDescent="0.3">
      <c r="A65" s="364" t="s">
        <v>752</v>
      </c>
      <c r="B65" s="366" t="s">
        <v>466</v>
      </c>
      <c r="C65" s="736"/>
      <c r="D65" s="577" t="s">
        <v>1377</v>
      </c>
      <c r="E65" s="720" t="s">
        <v>1140</v>
      </c>
    </row>
    <row r="66" spans="1:5" s="361" customFormat="1" ht="62.4" hidden="1" x14ac:dyDescent="0.3">
      <c r="A66" s="364" t="s">
        <v>752</v>
      </c>
      <c r="B66" s="366" t="s">
        <v>466</v>
      </c>
      <c r="C66" s="736"/>
      <c r="D66" s="577" t="s">
        <v>1377</v>
      </c>
      <c r="E66" s="720" t="s">
        <v>1142</v>
      </c>
    </row>
    <row r="67" spans="1:5" s="361" customFormat="1" ht="49.8" hidden="1" x14ac:dyDescent="0.3">
      <c r="A67" s="364" t="s">
        <v>752</v>
      </c>
      <c r="B67" s="366" t="s">
        <v>466</v>
      </c>
      <c r="C67" s="736"/>
      <c r="D67" s="577" t="s">
        <v>1377</v>
      </c>
      <c r="E67" s="720" t="s">
        <v>1127</v>
      </c>
    </row>
    <row r="68" spans="1:5" s="361" customFormat="1" ht="49.8" hidden="1" x14ac:dyDescent="0.3">
      <c r="A68" s="364" t="s">
        <v>752</v>
      </c>
      <c r="B68" s="366" t="s">
        <v>466</v>
      </c>
      <c r="C68" s="736"/>
      <c r="D68" s="577" t="s">
        <v>1377</v>
      </c>
      <c r="E68" s="720" t="s">
        <v>1285</v>
      </c>
    </row>
    <row r="69" spans="1:5" s="361" customFormat="1" ht="46.8" hidden="1" x14ac:dyDescent="0.3">
      <c r="A69" s="364" t="s">
        <v>752</v>
      </c>
      <c r="B69" s="366" t="s">
        <v>763</v>
      </c>
      <c r="C69" s="736"/>
      <c r="D69" s="577" t="s">
        <v>1377</v>
      </c>
      <c r="E69" s="362" t="s">
        <v>764</v>
      </c>
    </row>
    <row r="70" spans="1:5" s="386" customFormat="1" ht="72.75" hidden="1" customHeight="1" x14ac:dyDescent="0.3">
      <c r="A70" s="382" t="s">
        <v>752</v>
      </c>
      <c r="B70" s="366" t="s">
        <v>466</v>
      </c>
      <c r="C70" s="736"/>
      <c r="D70" s="577" t="s">
        <v>1377</v>
      </c>
      <c r="E70" s="362" t="s">
        <v>985</v>
      </c>
    </row>
    <row r="71" spans="1:5" s="361" customFormat="1" ht="33.6" hidden="1" customHeight="1" x14ac:dyDescent="0.3">
      <c r="A71" s="379" t="s">
        <v>752</v>
      </c>
      <c r="B71" s="366" t="s">
        <v>470</v>
      </c>
      <c r="C71" s="736"/>
      <c r="D71" s="577" t="s">
        <v>1377</v>
      </c>
      <c r="E71" s="720" t="s">
        <v>983</v>
      </c>
    </row>
    <row r="72" spans="1:5" s="380" customFormat="1" ht="70.2" hidden="1" customHeight="1" x14ac:dyDescent="0.3">
      <c r="A72" s="379" t="s">
        <v>752</v>
      </c>
      <c r="B72" s="366" t="s">
        <v>470</v>
      </c>
      <c r="C72" s="736"/>
      <c r="D72" s="577" t="s">
        <v>1377</v>
      </c>
      <c r="E72" s="720" t="s">
        <v>1143</v>
      </c>
    </row>
    <row r="73" spans="1:5" s="380" customFormat="1" ht="46.8" hidden="1" x14ac:dyDescent="0.3">
      <c r="A73" s="364" t="s">
        <v>752</v>
      </c>
      <c r="B73" s="366" t="s">
        <v>470</v>
      </c>
      <c r="C73" s="736"/>
      <c r="D73" s="577" t="s">
        <v>1377</v>
      </c>
      <c r="E73" s="362" t="s">
        <v>765</v>
      </c>
    </row>
    <row r="74" spans="1:5" s="380" customFormat="1" ht="46.8" hidden="1" x14ac:dyDescent="0.3">
      <c r="A74" s="379" t="s">
        <v>752</v>
      </c>
      <c r="B74" s="366" t="s">
        <v>472</v>
      </c>
      <c r="C74" s="736"/>
      <c r="D74" s="577" t="s">
        <v>1377</v>
      </c>
      <c r="E74" s="381" t="s">
        <v>1237</v>
      </c>
    </row>
    <row r="75" spans="1:5" s="380" customFormat="1" ht="52.95" hidden="1" customHeight="1" x14ac:dyDescent="0.3">
      <c r="A75" s="379" t="s">
        <v>752</v>
      </c>
      <c r="B75" s="376" t="s">
        <v>474</v>
      </c>
      <c r="C75" s="736"/>
      <c r="D75" s="577" t="s">
        <v>1377</v>
      </c>
      <c r="E75" s="381" t="s">
        <v>990</v>
      </c>
    </row>
    <row r="76" spans="1:5" s="380" customFormat="1" ht="46.8" hidden="1" x14ac:dyDescent="0.3">
      <c r="A76" s="364" t="s">
        <v>752</v>
      </c>
      <c r="B76" s="376" t="s">
        <v>474</v>
      </c>
      <c r="C76" s="374"/>
      <c r="D76" s="577" t="s">
        <v>1377</v>
      </c>
      <c r="E76" s="720" t="s">
        <v>1257</v>
      </c>
    </row>
    <row r="77" spans="1:5" s="380" customFormat="1" ht="49.8" hidden="1" x14ac:dyDescent="0.3">
      <c r="A77" s="364" t="s">
        <v>752</v>
      </c>
      <c r="B77" s="378" t="s">
        <v>479</v>
      </c>
      <c r="C77" s="736"/>
      <c r="D77" s="577" t="s">
        <v>1377</v>
      </c>
      <c r="E77" s="381" t="s">
        <v>1342</v>
      </c>
    </row>
    <row r="78" spans="1:5" s="380" customFormat="1" ht="46.8" hidden="1" customHeight="1" x14ac:dyDescent="0.3">
      <c r="A78" s="364" t="s">
        <v>752</v>
      </c>
      <c r="B78" s="378" t="s">
        <v>479</v>
      </c>
      <c r="C78" s="736"/>
      <c r="D78" s="577" t="s">
        <v>1377</v>
      </c>
      <c r="E78" s="720" t="s">
        <v>1376</v>
      </c>
    </row>
    <row r="79" spans="1:5" s="380" customFormat="1" ht="46.8" hidden="1" x14ac:dyDescent="0.3">
      <c r="A79" s="364" t="s">
        <v>752</v>
      </c>
      <c r="B79" s="378" t="s">
        <v>480</v>
      </c>
      <c r="C79" s="736"/>
      <c r="D79" s="252" t="s">
        <v>767</v>
      </c>
      <c r="E79" s="362" t="s">
        <v>768</v>
      </c>
    </row>
    <row r="80" spans="1:5" s="380" customFormat="1" ht="62.4" hidden="1" customHeight="1" x14ac:dyDescent="0.3">
      <c r="A80" s="364" t="s">
        <v>752</v>
      </c>
      <c r="B80" s="378" t="s">
        <v>480</v>
      </c>
      <c r="C80" s="736"/>
      <c r="D80" s="252" t="s">
        <v>1216</v>
      </c>
      <c r="E80" s="362" t="s">
        <v>1238</v>
      </c>
    </row>
    <row r="81" spans="1:5" s="380" customFormat="1" ht="46.8" hidden="1" x14ac:dyDescent="0.3">
      <c r="A81" s="364" t="s">
        <v>752</v>
      </c>
      <c r="B81" s="378" t="s">
        <v>480</v>
      </c>
      <c r="C81" s="374"/>
      <c r="D81" s="252" t="s">
        <v>767</v>
      </c>
      <c r="E81" s="362" t="s">
        <v>769</v>
      </c>
    </row>
    <row r="82" spans="1:5" s="380" customFormat="1" ht="65.400000000000006" hidden="1" x14ac:dyDescent="0.3">
      <c r="A82" s="364" t="s">
        <v>752</v>
      </c>
      <c r="B82" s="378" t="s">
        <v>480</v>
      </c>
      <c r="C82" s="736"/>
      <c r="D82" s="1047" t="s">
        <v>1194</v>
      </c>
      <c r="E82" s="362" t="s">
        <v>1198</v>
      </c>
    </row>
    <row r="83" spans="1:5" s="380" customFormat="1" ht="93" hidden="1" customHeight="1" x14ac:dyDescent="0.3">
      <c r="A83" s="364" t="s">
        <v>752</v>
      </c>
      <c r="B83" s="378" t="s">
        <v>480</v>
      </c>
      <c r="C83" s="374"/>
      <c r="D83" s="363" t="s">
        <v>971</v>
      </c>
      <c r="E83" s="362" t="s">
        <v>975</v>
      </c>
    </row>
    <row r="84" spans="1:5" s="380" customFormat="1" ht="81" hidden="1" x14ac:dyDescent="0.3">
      <c r="A84" s="364" t="s">
        <v>752</v>
      </c>
      <c r="B84" s="378" t="s">
        <v>770</v>
      </c>
      <c r="C84" s="1183"/>
      <c r="D84" s="1047" t="s">
        <v>1194</v>
      </c>
      <c r="E84" s="362" t="s">
        <v>1209</v>
      </c>
    </row>
    <row r="85" spans="1:5" s="361" customFormat="1" ht="93.6" hidden="1" x14ac:dyDescent="0.3">
      <c r="A85" s="364" t="s">
        <v>752</v>
      </c>
      <c r="B85" s="378" t="s">
        <v>770</v>
      </c>
      <c r="C85" s="385"/>
      <c r="D85" s="252" t="s">
        <v>771</v>
      </c>
      <c r="E85" s="362" t="s">
        <v>772</v>
      </c>
    </row>
    <row r="86" spans="1:5" s="361" customFormat="1" ht="99" hidden="1" customHeight="1" x14ac:dyDescent="0.3">
      <c r="A86" s="364" t="s">
        <v>752</v>
      </c>
      <c r="B86" s="378" t="s">
        <v>700</v>
      </c>
      <c r="C86" s="1222"/>
      <c r="D86" s="374" t="s">
        <v>1303</v>
      </c>
      <c r="E86" s="362" t="s">
        <v>1413</v>
      </c>
    </row>
    <row r="87" spans="1:5" s="361" customFormat="1" ht="112.2" hidden="1" x14ac:dyDescent="0.3">
      <c r="A87" s="364" t="s">
        <v>752</v>
      </c>
      <c r="B87" s="378" t="s">
        <v>700</v>
      </c>
      <c r="C87" s="374"/>
      <c r="D87" s="374" t="s">
        <v>967</v>
      </c>
      <c r="E87" s="362" t="s">
        <v>1132</v>
      </c>
    </row>
    <row r="88" spans="1:5" s="361" customFormat="1" ht="78" hidden="1" customHeight="1" x14ac:dyDescent="0.3">
      <c r="A88" s="364" t="s">
        <v>752</v>
      </c>
      <c r="B88" s="378" t="s">
        <v>700</v>
      </c>
      <c r="C88" s="385"/>
      <c r="D88" s="252" t="s">
        <v>773</v>
      </c>
      <c r="E88" s="362" t="s">
        <v>774</v>
      </c>
    </row>
    <row r="89" spans="1:5" s="361" customFormat="1" ht="62.4" hidden="1" customHeight="1" x14ac:dyDescent="0.3">
      <c r="A89" s="364" t="s">
        <v>752</v>
      </c>
      <c r="B89" s="378" t="s">
        <v>700</v>
      </c>
      <c r="C89" s="385"/>
      <c r="D89" s="252" t="s">
        <v>775</v>
      </c>
      <c r="E89" s="362" t="s">
        <v>776</v>
      </c>
    </row>
    <row r="90" spans="1:5" s="361" customFormat="1" ht="62.4" hidden="1" customHeight="1" x14ac:dyDescent="0.3">
      <c r="A90" s="364" t="s">
        <v>752</v>
      </c>
      <c r="B90" s="378" t="s">
        <v>700</v>
      </c>
      <c r="C90" s="385"/>
      <c r="D90" s="252" t="s">
        <v>775</v>
      </c>
      <c r="E90" s="362" t="s">
        <v>777</v>
      </c>
    </row>
    <row r="91" spans="1:5" s="361" customFormat="1" ht="62.4" hidden="1" customHeight="1" x14ac:dyDescent="0.3">
      <c r="A91" s="364" t="s">
        <v>752</v>
      </c>
      <c r="B91" s="378" t="s">
        <v>700</v>
      </c>
      <c r="C91" s="385"/>
      <c r="D91" s="252" t="s">
        <v>773</v>
      </c>
      <c r="E91" s="362" t="s">
        <v>778</v>
      </c>
    </row>
    <row r="92" spans="1:5" s="361" customFormat="1" ht="62.4" hidden="1" customHeight="1" x14ac:dyDescent="0.3">
      <c r="A92" s="364" t="s">
        <v>752</v>
      </c>
      <c r="B92" s="378" t="s">
        <v>700</v>
      </c>
      <c r="C92" s="385"/>
      <c r="D92" s="252" t="s">
        <v>775</v>
      </c>
      <c r="E92" s="362" t="s">
        <v>779</v>
      </c>
    </row>
    <row r="93" spans="1:5" s="361" customFormat="1" ht="61.2" hidden="1" customHeight="1" x14ac:dyDescent="0.3">
      <c r="A93" s="364" t="s">
        <v>752</v>
      </c>
      <c r="B93" s="378" t="s">
        <v>487</v>
      </c>
      <c r="C93" s="374"/>
      <c r="D93" s="252" t="s">
        <v>1027</v>
      </c>
      <c r="E93" s="720" t="s">
        <v>1026</v>
      </c>
    </row>
    <row r="94" spans="1:5" s="361" customFormat="1" ht="112.2" hidden="1" x14ac:dyDescent="0.3">
      <c r="A94" s="375" t="s">
        <v>752</v>
      </c>
      <c r="B94" s="376" t="s">
        <v>709</v>
      </c>
      <c r="C94" s="576"/>
      <c r="D94" s="374" t="s">
        <v>1128</v>
      </c>
      <c r="E94" s="362" t="s">
        <v>1131</v>
      </c>
    </row>
    <row r="95" spans="1:5" s="361" customFormat="1" ht="93.6" hidden="1" x14ac:dyDescent="0.3">
      <c r="A95" s="364" t="s">
        <v>752</v>
      </c>
      <c r="B95" s="376" t="s">
        <v>709</v>
      </c>
      <c r="C95" s="374"/>
      <c r="D95" s="374" t="s">
        <v>1258</v>
      </c>
      <c r="E95" s="362" t="s">
        <v>1286</v>
      </c>
    </row>
    <row r="96" spans="1:5" s="361" customFormat="1" ht="112.95" hidden="1" customHeight="1" x14ac:dyDescent="0.3">
      <c r="A96" s="364" t="s">
        <v>752</v>
      </c>
      <c r="B96" s="378" t="s">
        <v>709</v>
      </c>
      <c r="C96" s="1019"/>
      <c r="D96" s="374" t="s">
        <v>1214</v>
      </c>
      <c r="E96" s="720" t="s">
        <v>1247</v>
      </c>
    </row>
    <row r="97" spans="1:5" s="361" customFormat="1" ht="96.6" hidden="1" x14ac:dyDescent="0.3">
      <c r="A97" s="364" t="s">
        <v>752</v>
      </c>
      <c r="B97" s="378" t="s">
        <v>709</v>
      </c>
      <c r="C97" s="1019"/>
      <c r="D97" s="374" t="s">
        <v>1215</v>
      </c>
      <c r="E97" s="720" t="s">
        <v>1248</v>
      </c>
    </row>
    <row r="98" spans="1:5" s="361" customFormat="1" ht="109.2" hidden="1" x14ac:dyDescent="0.3">
      <c r="A98" s="364" t="s">
        <v>752</v>
      </c>
      <c r="B98" s="378" t="s">
        <v>709</v>
      </c>
      <c r="C98" s="252"/>
      <c r="D98" s="374" t="s">
        <v>930</v>
      </c>
      <c r="E98" s="362" t="s">
        <v>956</v>
      </c>
    </row>
    <row r="99" spans="1:5" s="361" customFormat="1" ht="112.2" hidden="1" x14ac:dyDescent="0.3">
      <c r="A99" s="364" t="s">
        <v>752</v>
      </c>
      <c r="B99" s="376" t="s">
        <v>709</v>
      </c>
      <c r="C99" s="374"/>
      <c r="D99" s="374" t="s">
        <v>930</v>
      </c>
      <c r="E99" s="720" t="s">
        <v>977</v>
      </c>
    </row>
    <row r="100" spans="1:5" s="361" customFormat="1" ht="63" hidden="1" customHeight="1" x14ac:dyDescent="0.3">
      <c r="A100" s="364" t="s">
        <v>780</v>
      </c>
      <c r="B100" s="378" t="s">
        <v>498</v>
      </c>
      <c r="C100" s="252"/>
      <c r="D100" s="252" t="s">
        <v>940</v>
      </c>
      <c r="E100" s="362" t="s">
        <v>941</v>
      </c>
    </row>
    <row r="101" spans="1:5" s="361" customFormat="1" ht="59.4" hidden="1" customHeight="1" x14ac:dyDescent="0.3">
      <c r="A101" s="364" t="s">
        <v>780</v>
      </c>
      <c r="B101" s="378" t="s">
        <v>781</v>
      </c>
      <c r="C101" s="374"/>
      <c r="D101" s="374" t="s">
        <v>1272</v>
      </c>
      <c r="E101" s="720" t="s">
        <v>1273</v>
      </c>
    </row>
    <row r="102" spans="1:5" s="361" customFormat="1" ht="31.2" x14ac:dyDescent="0.3">
      <c r="A102" s="364" t="s">
        <v>780</v>
      </c>
      <c r="B102" s="376" t="s">
        <v>781</v>
      </c>
      <c r="C102" s="374">
        <v>14012</v>
      </c>
      <c r="D102" s="374" t="s">
        <v>1433</v>
      </c>
      <c r="E102" s="711" t="s">
        <v>1445</v>
      </c>
    </row>
    <row r="103" spans="1:5" s="361" customFormat="1" ht="124.8" hidden="1" x14ac:dyDescent="0.3">
      <c r="A103" s="364" t="s">
        <v>780</v>
      </c>
      <c r="B103" s="376" t="s">
        <v>781</v>
      </c>
      <c r="C103" s="576"/>
      <c r="D103" s="374" t="s">
        <v>1266</v>
      </c>
      <c r="E103" s="362" t="s">
        <v>1328</v>
      </c>
    </row>
    <row r="104" spans="1:5" s="361" customFormat="1" ht="46.8" hidden="1" x14ac:dyDescent="0.3">
      <c r="A104" s="364" t="s">
        <v>780</v>
      </c>
      <c r="B104" s="376" t="s">
        <v>781</v>
      </c>
      <c r="C104" s="674"/>
      <c r="D104" s="374" t="s">
        <v>1272</v>
      </c>
      <c r="E104" s="362" t="s">
        <v>1276</v>
      </c>
    </row>
    <row r="105" spans="1:5" s="361" customFormat="1" ht="48.6" hidden="1" customHeight="1" x14ac:dyDescent="0.3">
      <c r="A105" s="364" t="s">
        <v>780</v>
      </c>
      <c r="B105" s="376" t="s">
        <v>781</v>
      </c>
      <c r="C105" s="577"/>
      <c r="D105" s="374" t="s">
        <v>1272</v>
      </c>
      <c r="E105" s="362" t="s">
        <v>1282</v>
      </c>
    </row>
    <row r="106" spans="1:5" s="361" customFormat="1" ht="62.4" hidden="1" customHeight="1" x14ac:dyDescent="0.3">
      <c r="A106" s="364" t="s">
        <v>780</v>
      </c>
      <c r="B106" s="376" t="s">
        <v>782</v>
      </c>
      <c r="C106" s="577"/>
      <c r="D106" s="374" t="s">
        <v>1433</v>
      </c>
      <c r="E106" s="1285" t="s">
        <v>1434</v>
      </c>
    </row>
    <row r="107" spans="1:5" s="361" customFormat="1" ht="62.4" hidden="1" x14ac:dyDescent="0.3">
      <c r="A107" s="364" t="s">
        <v>780</v>
      </c>
      <c r="B107" s="376" t="s">
        <v>782</v>
      </c>
      <c r="C107" s="577"/>
      <c r="D107" s="374" t="s">
        <v>1272</v>
      </c>
      <c r="E107" s="720" t="s">
        <v>1277</v>
      </c>
    </row>
    <row r="108" spans="1:5" s="361" customFormat="1" ht="62.4" hidden="1" x14ac:dyDescent="0.3">
      <c r="A108" s="364" t="s">
        <v>780</v>
      </c>
      <c r="B108" s="376" t="s">
        <v>782</v>
      </c>
      <c r="C108" s="374"/>
      <c r="D108" s="374" t="s">
        <v>1272</v>
      </c>
      <c r="E108" s="720" t="s">
        <v>1278</v>
      </c>
    </row>
    <row r="109" spans="1:5" s="361" customFormat="1" ht="48" hidden="1" customHeight="1" x14ac:dyDescent="0.3">
      <c r="A109" s="364" t="s">
        <v>780</v>
      </c>
      <c r="B109" s="376" t="s">
        <v>158</v>
      </c>
      <c r="C109" s="674"/>
      <c r="D109" s="374" t="s">
        <v>1272</v>
      </c>
      <c r="E109" s="720" t="s">
        <v>1302</v>
      </c>
    </row>
    <row r="110" spans="1:5" s="361" customFormat="1" ht="49.8" hidden="1" x14ac:dyDescent="0.3">
      <c r="A110" s="375" t="s">
        <v>780</v>
      </c>
      <c r="B110" s="378" t="s">
        <v>782</v>
      </c>
      <c r="C110" s="736"/>
      <c r="D110" s="374" t="s">
        <v>1229</v>
      </c>
      <c r="E110" s="720" t="s">
        <v>1239</v>
      </c>
    </row>
    <row r="111" spans="1:5" s="361" customFormat="1" ht="99" hidden="1" customHeight="1" x14ac:dyDescent="0.3">
      <c r="A111" s="375" t="s">
        <v>780</v>
      </c>
      <c r="B111" s="378" t="s">
        <v>782</v>
      </c>
      <c r="C111" s="252"/>
      <c r="D111" s="374" t="s">
        <v>1206</v>
      </c>
      <c r="E111" s="720" t="s">
        <v>1067</v>
      </c>
    </row>
    <row r="112" spans="1:5" s="361" customFormat="1" ht="73.2" hidden="1" customHeight="1" x14ac:dyDescent="0.3">
      <c r="A112" s="375" t="s">
        <v>780</v>
      </c>
      <c r="B112" s="378" t="s">
        <v>782</v>
      </c>
      <c r="C112" s="374"/>
      <c r="D112" s="374" t="s">
        <v>1206</v>
      </c>
      <c r="E112" s="720" t="s">
        <v>1207</v>
      </c>
    </row>
    <row r="113" spans="1:5" s="361" customFormat="1" ht="31.2" x14ac:dyDescent="0.3">
      <c r="A113" s="364" t="s">
        <v>783</v>
      </c>
      <c r="B113" s="378" t="s">
        <v>782</v>
      </c>
      <c r="C113" s="577">
        <v>25853</v>
      </c>
      <c r="D113" s="374" t="s">
        <v>1433</v>
      </c>
      <c r="E113" s="578" t="s">
        <v>1444</v>
      </c>
    </row>
    <row r="114" spans="1:5" s="361" customFormat="1" ht="46.8" hidden="1" x14ac:dyDescent="0.3">
      <c r="A114" s="364" t="s">
        <v>783</v>
      </c>
      <c r="B114" s="378" t="s">
        <v>782</v>
      </c>
      <c r="C114" s="252"/>
      <c r="D114" s="374" t="s">
        <v>1272</v>
      </c>
      <c r="E114" s="672" t="s">
        <v>1435</v>
      </c>
    </row>
    <row r="115" spans="1:5" s="361" customFormat="1" ht="46.8" hidden="1" x14ac:dyDescent="0.3">
      <c r="A115" s="364" t="s">
        <v>783</v>
      </c>
      <c r="B115" s="378" t="s">
        <v>782</v>
      </c>
      <c r="C115" s="252"/>
      <c r="D115" s="374" t="s">
        <v>1272</v>
      </c>
      <c r="E115" s="672" t="s">
        <v>1436</v>
      </c>
    </row>
    <row r="116" spans="1:5" s="361" customFormat="1" ht="62.4" hidden="1" x14ac:dyDescent="0.3">
      <c r="A116" s="364" t="s">
        <v>783</v>
      </c>
      <c r="B116" s="378" t="s">
        <v>782</v>
      </c>
      <c r="C116" s="252"/>
      <c r="D116" s="252" t="s">
        <v>926</v>
      </c>
      <c r="E116" s="1285" t="s">
        <v>1437</v>
      </c>
    </row>
    <row r="117" spans="1:5" s="361" customFormat="1" ht="93.6" hidden="1" x14ac:dyDescent="0.3">
      <c r="A117" s="364" t="s">
        <v>780</v>
      </c>
      <c r="B117" s="378" t="s">
        <v>782</v>
      </c>
      <c r="C117" s="252"/>
      <c r="D117" s="252" t="s">
        <v>1301</v>
      </c>
      <c r="E117" s="672" t="s">
        <v>1306</v>
      </c>
    </row>
    <row r="118" spans="1:5" s="361" customFormat="1" ht="15.6" hidden="1" x14ac:dyDescent="0.3">
      <c r="A118" s="364" t="s">
        <v>783</v>
      </c>
      <c r="B118" s="378" t="s">
        <v>782</v>
      </c>
      <c r="C118" s="252"/>
      <c r="D118" s="252"/>
      <c r="E118" s="1286"/>
    </row>
    <row r="119" spans="1:5" s="361" customFormat="1" ht="53.4" hidden="1" customHeight="1" x14ac:dyDescent="0.3">
      <c r="A119" s="364" t="s">
        <v>783</v>
      </c>
      <c r="B119" s="378" t="s">
        <v>944</v>
      </c>
      <c r="C119" s="252"/>
      <c r="D119" s="1280" t="s">
        <v>1272</v>
      </c>
      <c r="E119" s="1285" t="s">
        <v>1274</v>
      </c>
    </row>
    <row r="120" spans="1:5" s="361" customFormat="1" ht="58.2" customHeight="1" x14ac:dyDescent="0.3">
      <c r="A120" s="375" t="s">
        <v>783</v>
      </c>
      <c r="B120" s="378" t="s">
        <v>944</v>
      </c>
      <c r="C120" s="252">
        <v>-41796</v>
      </c>
      <c r="D120" s="374" t="s">
        <v>1433</v>
      </c>
      <c r="E120" s="578" t="s">
        <v>1442</v>
      </c>
    </row>
    <row r="121" spans="1:5" s="361" customFormat="1" ht="51" hidden="1" customHeight="1" x14ac:dyDescent="0.3">
      <c r="A121" s="375" t="s">
        <v>783</v>
      </c>
      <c r="B121" s="378" t="s">
        <v>944</v>
      </c>
      <c r="C121" s="374"/>
      <c r="D121" s="374" t="s">
        <v>1390</v>
      </c>
      <c r="E121" s="672" t="s">
        <v>1438</v>
      </c>
    </row>
    <row r="122" spans="1:5" s="361" customFormat="1" ht="46.8" hidden="1" x14ac:dyDescent="0.3">
      <c r="A122" s="375" t="s">
        <v>783</v>
      </c>
      <c r="B122" s="378" t="s">
        <v>944</v>
      </c>
      <c r="C122" s="252"/>
      <c r="D122" s="374" t="s">
        <v>1390</v>
      </c>
      <c r="E122" s="672" t="s">
        <v>1439</v>
      </c>
    </row>
    <row r="123" spans="1:5" s="361" customFormat="1" ht="46.8" hidden="1" x14ac:dyDescent="0.3">
      <c r="A123" s="375" t="s">
        <v>783</v>
      </c>
      <c r="B123" s="378" t="s">
        <v>944</v>
      </c>
      <c r="C123" s="252"/>
      <c r="D123" s="363" t="s">
        <v>1391</v>
      </c>
      <c r="E123" s="672" t="s">
        <v>1440</v>
      </c>
    </row>
    <row r="124" spans="1:5" s="361" customFormat="1" ht="46.8" hidden="1" x14ac:dyDescent="0.3">
      <c r="A124" s="375" t="s">
        <v>783</v>
      </c>
      <c r="B124" s="378" t="s">
        <v>944</v>
      </c>
      <c r="C124" s="374"/>
      <c r="D124" s="363" t="s">
        <v>1391</v>
      </c>
      <c r="E124" s="672" t="s">
        <v>1441</v>
      </c>
    </row>
    <row r="125" spans="1:5" s="361" customFormat="1" ht="67.2" hidden="1" customHeight="1" x14ac:dyDescent="0.3">
      <c r="A125" s="375" t="s">
        <v>783</v>
      </c>
      <c r="B125" s="378" t="s">
        <v>1115</v>
      </c>
      <c r="C125" s="374"/>
      <c r="D125" s="363"/>
      <c r="E125" s="672" t="s">
        <v>1109</v>
      </c>
    </row>
    <row r="126" spans="1:5" s="361" customFormat="1" ht="31.2" hidden="1" x14ac:dyDescent="0.3">
      <c r="A126" s="364" t="s">
        <v>783</v>
      </c>
      <c r="B126" s="378" t="s">
        <v>1071</v>
      </c>
      <c r="C126" s="374"/>
      <c r="D126" s="374" t="s">
        <v>1051</v>
      </c>
      <c r="E126" s="672" t="s">
        <v>1072</v>
      </c>
    </row>
    <row r="127" spans="1:5" s="361" customFormat="1" ht="31.2" x14ac:dyDescent="0.3">
      <c r="A127" s="364" t="s">
        <v>783</v>
      </c>
      <c r="B127" s="378" t="s">
        <v>784</v>
      </c>
      <c r="C127" s="252">
        <v>1931</v>
      </c>
      <c r="D127" s="374" t="s">
        <v>1433</v>
      </c>
      <c r="E127" s="578" t="s">
        <v>1443</v>
      </c>
    </row>
    <row r="128" spans="1:5" s="361" customFormat="1" ht="62.4" hidden="1" x14ac:dyDescent="0.3">
      <c r="A128" s="364" t="s">
        <v>783</v>
      </c>
      <c r="B128" s="378" t="s">
        <v>784</v>
      </c>
      <c r="C128" s="374"/>
      <c r="D128" s="374"/>
      <c r="E128" s="578" t="s">
        <v>1279</v>
      </c>
    </row>
    <row r="129" spans="1:5" s="361" customFormat="1" ht="46.8" hidden="1" x14ac:dyDescent="0.3">
      <c r="A129" s="364" t="s">
        <v>783</v>
      </c>
      <c r="B129" s="376" t="s">
        <v>784</v>
      </c>
      <c r="C129" s="374"/>
      <c r="D129" s="374"/>
      <c r="E129" s="711" t="s">
        <v>1281</v>
      </c>
    </row>
    <row r="130" spans="1:5" s="361" customFormat="1" ht="46.8" hidden="1" x14ac:dyDescent="0.3">
      <c r="A130" s="375" t="s">
        <v>783</v>
      </c>
      <c r="B130" s="376" t="s">
        <v>784</v>
      </c>
      <c r="C130" s="374"/>
      <c r="D130" s="374"/>
      <c r="E130" s="578" t="s">
        <v>1315</v>
      </c>
    </row>
    <row r="131" spans="1:5" s="361" customFormat="1" ht="78" customHeight="1" x14ac:dyDescent="0.3">
      <c r="A131" s="364" t="s">
        <v>783</v>
      </c>
      <c r="B131" s="376" t="s">
        <v>784</v>
      </c>
      <c r="C131" s="374">
        <v>-600</v>
      </c>
      <c r="D131" s="374" t="s">
        <v>1423</v>
      </c>
      <c r="E131" s="578" t="s">
        <v>1427</v>
      </c>
    </row>
    <row r="132" spans="1:5" s="356" customFormat="1" ht="46.8" x14ac:dyDescent="0.3">
      <c r="A132" s="364" t="s">
        <v>783</v>
      </c>
      <c r="B132" s="376" t="s">
        <v>784</v>
      </c>
      <c r="C132" s="374">
        <v>600</v>
      </c>
      <c r="D132" s="374" t="s">
        <v>1423</v>
      </c>
      <c r="E132" s="578" t="s">
        <v>1426</v>
      </c>
    </row>
    <row r="133" spans="1:5" s="356" customFormat="1" ht="82.2" hidden="1" customHeight="1" x14ac:dyDescent="0.3">
      <c r="A133" s="364" t="s">
        <v>783</v>
      </c>
      <c r="B133" s="376" t="s">
        <v>785</v>
      </c>
      <c r="C133" s="374"/>
      <c r="D133" s="374" t="s">
        <v>1272</v>
      </c>
      <c r="E133" s="720" t="s">
        <v>1275</v>
      </c>
    </row>
    <row r="134" spans="1:5" s="356" customFormat="1" ht="39.6" customHeight="1" x14ac:dyDescent="0.3">
      <c r="A134" s="364" t="s">
        <v>783</v>
      </c>
      <c r="B134" s="376" t="s">
        <v>785</v>
      </c>
      <c r="C134" s="374">
        <v>-36000</v>
      </c>
      <c r="D134" s="374" t="s">
        <v>1423</v>
      </c>
      <c r="E134" s="720" t="s">
        <v>1425</v>
      </c>
    </row>
    <row r="135" spans="1:5" s="356" customFormat="1" ht="51.75" hidden="1" customHeight="1" x14ac:dyDescent="0.3">
      <c r="A135" s="364" t="s">
        <v>783</v>
      </c>
      <c r="B135" s="376" t="s">
        <v>785</v>
      </c>
      <c r="C135" s="374"/>
      <c r="D135" s="374" t="s">
        <v>1423</v>
      </c>
      <c r="E135" s="720" t="s">
        <v>1429</v>
      </c>
    </row>
    <row r="136" spans="1:5" s="356" customFormat="1" ht="99.75" hidden="1" customHeight="1" x14ac:dyDescent="0.3">
      <c r="A136" s="364" t="s">
        <v>783</v>
      </c>
      <c r="B136" s="376" t="s">
        <v>785</v>
      </c>
      <c r="C136" s="374"/>
      <c r="D136" s="374" t="s">
        <v>1423</v>
      </c>
      <c r="E136" s="720" t="s">
        <v>1428</v>
      </c>
    </row>
    <row r="137" spans="1:5" s="356" customFormat="1" ht="51.75" hidden="1" customHeight="1" x14ac:dyDescent="0.3">
      <c r="A137" s="364" t="s">
        <v>783</v>
      </c>
      <c r="B137" s="376" t="s">
        <v>785</v>
      </c>
      <c r="C137" s="252"/>
      <c r="D137" s="252" t="s">
        <v>945</v>
      </c>
      <c r="E137" s="362" t="s">
        <v>946</v>
      </c>
    </row>
    <row r="138" spans="1:5" s="356" customFormat="1" ht="75" hidden="1" customHeight="1" x14ac:dyDescent="0.3">
      <c r="A138" s="364" t="s">
        <v>783</v>
      </c>
      <c r="B138" s="376" t="s">
        <v>1044</v>
      </c>
      <c r="C138" s="374"/>
      <c r="D138" s="374" t="s">
        <v>1040</v>
      </c>
      <c r="E138" s="720" t="s">
        <v>1047</v>
      </c>
    </row>
    <row r="139" spans="1:5" s="383" customFormat="1" ht="69.75" hidden="1" customHeight="1" x14ac:dyDescent="0.3">
      <c r="A139" s="382" t="s">
        <v>783</v>
      </c>
      <c r="B139" s="378" t="s">
        <v>712</v>
      </c>
      <c r="C139" s="374"/>
      <c r="D139" s="252" t="s">
        <v>786</v>
      </c>
      <c r="E139" s="362" t="s">
        <v>787</v>
      </c>
    </row>
    <row r="140" spans="1:5" s="361" customFormat="1" ht="65.400000000000006" hidden="1" x14ac:dyDescent="0.3">
      <c r="A140" s="364" t="s">
        <v>783</v>
      </c>
      <c r="B140" s="376" t="s">
        <v>146</v>
      </c>
      <c r="C140" s="374"/>
      <c r="D140" s="363" t="s">
        <v>911</v>
      </c>
      <c r="E140" s="720" t="s">
        <v>957</v>
      </c>
    </row>
    <row r="141" spans="1:5" s="361" customFormat="1" ht="46.8" hidden="1" x14ac:dyDescent="0.3">
      <c r="A141" s="364" t="s">
        <v>783</v>
      </c>
      <c r="B141" s="376" t="s">
        <v>502</v>
      </c>
      <c r="C141" s="374"/>
      <c r="D141" s="374" t="s">
        <v>1272</v>
      </c>
      <c r="E141" s="720" t="s">
        <v>1316</v>
      </c>
    </row>
    <row r="142" spans="1:5" s="361" customFormat="1" ht="62.4" hidden="1" customHeight="1" x14ac:dyDescent="0.3">
      <c r="A142" s="364" t="s">
        <v>783</v>
      </c>
      <c r="B142" s="376" t="s">
        <v>502</v>
      </c>
      <c r="C142" s="374"/>
      <c r="D142" s="374" t="s">
        <v>1272</v>
      </c>
      <c r="E142" s="720" t="s">
        <v>1280</v>
      </c>
    </row>
    <row r="143" spans="1:5" s="361" customFormat="1" ht="31.2" hidden="1" customHeight="1" x14ac:dyDescent="0.3">
      <c r="A143" s="364" t="s">
        <v>783</v>
      </c>
      <c r="B143" s="376" t="s">
        <v>505</v>
      </c>
      <c r="C143" s="374"/>
      <c r="D143" s="252" t="s">
        <v>788</v>
      </c>
      <c r="E143" s="362" t="s">
        <v>789</v>
      </c>
    </row>
    <row r="144" spans="1:5" s="361" customFormat="1" ht="46.95" customHeight="1" x14ac:dyDescent="0.3">
      <c r="A144" s="364" t="s">
        <v>783</v>
      </c>
      <c r="B144" s="376" t="s">
        <v>508</v>
      </c>
      <c r="C144" s="374">
        <v>-18400</v>
      </c>
      <c r="D144" s="374" t="s">
        <v>1450</v>
      </c>
      <c r="E144" s="720" t="s">
        <v>1457</v>
      </c>
    </row>
    <row r="145" spans="1:5" s="361" customFormat="1" ht="59.4" hidden="1" customHeight="1" x14ac:dyDescent="0.3">
      <c r="A145" s="364" t="s">
        <v>783</v>
      </c>
      <c r="B145" s="376" t="s">
        <v>508</v>
      </c>
      <c r="C145" s="374"/>
      <c r="D145" s="374" t="s">
        <v>1423</v>
      </c>
      <c r="E145" s="720" t="s">
        <v>1430</v>
      </c>
    </row>
    <row r="146" spans="1:5" s="361" customFormat="1" ht="64.8" hidden="1" customHeight="1" x14ac:dyDescent="0.3">
      <c r="A146" s="364" t="s">
        <v>783</v>
      </c>
      <c r="B146" s="376" t="s">
        <v>131</v>
      </c>
      <c r="C146" s="374"/>
      <c r="D146" s="363" t="s">
        <v>1146</v>
      </c>
      <c r="E146" s="362" t="s">
        <v>1110</v>
      </c>
    </row>
    <row r="147" spans="1:5" s="361" customFormat="1" ht="103.2" hidden="1" customHeight="1" x14ac:dyDescent="0.3">
      <c r="A147" s="364" t="s">
        <v>783</v>
      </c>
      <c r="B147" s="378" t="s">
        <v>858</v>
      </c>
      <c r="C147" s="252"/>
      <c r="D147" s="374" t="s">
        <v>1390</v>
      </c>
      <c r="E147" s="362" t="s">
        <v>1380</v>
      </c>
    </row>
    <row r="148" spans="1:5" s="361" customFormat="1" ht="97.8" hidden="1" customHeight="1" x14ac:dyDescent="0.3">
      <c r="A148" s="384" t="s">
        <v>790</v>
      </c>
      <c r="B148" s="376" t="s">
        <v>515</v>
      </c>
      <c r="C148" s="696"/>
      <c r="D148" s="252" t="s">
        <v>1130</v>
      </c>
      <c r="E148" s="362" t="s">
        <v>1129</v>
      </c>
    </row>
    <row r="149" spans="1:5" s="361" customFormat="1" ht="51.6" hidden="1" customHeight="1" x14ac:dyDescent="0.3">
      <c r="A149" s="384" t="s">
        <v>790</v>
      </c>
      <c r="B149" s="376" t="s">
        <v>515</v>
      </c>
      <c r="C149" s="1182"/>
      <c r="D149" s="252" t="s">
        <v>1225</v>
      </c>
      <c r="E149" s="720" t="s">
        <v>1235</v>
      </c>
    </row>
    <row r="150" spans="1:5" s="361" customFormat="1" ht="52.8" hidden="1" x14ac:dyDescent="0.3">
      <c r="A150" s="384" t="s">
        <v>790</v>
      </c>
      <c r="B150" s="376" t="s">
        <v>515</v>
      </c>
      <c r="C150" s="252"/>
      <c r="D150" s="374" t="s">
        <v>1323</v>
      </c>
      <c r="E150" s="720" t="s">
        <v>1293</v>
      </c>
    </row>
    <row r="151" spans="1:5" s="361" customFormat="1" ht="52.8" hidden="1" x14ac:dyDescent="0.3">
      <c r="A151" s="384" t="s">
        <v>790</v>
      </c>
      <c r="B151" s="376" t="s">
        <v>515</v>
      </c>
      <c r="C151" s="252"/>
      <c r="D151" s="252" t="s">
        <v>1225</v>
      </c>
      <c r="E151" s="720" t="s">
        <v>1236</v>
      </c>
    </row>
    <row r="152" spans="1:5" s="361" customFormat="1" ht="78" hidden="1" x14ac:dyDescent="0.3">
      <c r="A152" s="384" t="s">
        <v>790</v>
      </c>
      <c r="B152" s="376" t="s">
        <v>115</v>
      </c>
      <c r="C152" s="374"/>
      <c r="D152" s="363" t="s">
        <v>1332</v>
      </c>
      <c r="E152" s="1216" t="s">
        <v>1333</v>
      </c>
    </row>
    <row r="153" spans="1:5" s="361" customFormat="1" ht="58.95" hidden="1" customHeight="1" x14ac:dyDescent="0.3">
      <c r="A153" s="384" t="s">
        <v>790</v>
      </c>
      <c r="B153" s="376" t="s">
        <v>115</v>
      </c>
      <c r="C153" s="374"/>
      <c r="D153" s="363" t="s">
        <v>1052</v>
      </c>
      <c r="E153" s="362" t="s">
        <v>1054</v>
      </c>
    </row>
    <row r="154" spans="1:5" s="361" customFormat="1" ht="52.8" hidden="1" x14ac:dyDescent="0.3">
      <c r="A154" s="384" t="s">
        <v>790</v>
      </c>
      <c r="B154" s="376" t="s">
        <v>115</v>
      </c>
      <c r="C154" s="374"/>
      <c r="D154" s="363" t="s">
        <v>1052</v>
      </c>
      <c r="E154" s="362" t="s">
        <v>1053</v>
      </c>
    </row>
    <row r="155" spans="1:5" s="361" customFormat="1" ht="52.8" hidden="1" x14ac:dyDescent="0.3">
      <c r="A155" s="384" t="s">
        <v>790</v>
      </c>
      <c r="B155" s="376" t="s">
        <v>115</v>
      </c>
      <c r="C155" s="374"/>
      <c r="D155" s="363" t="s">
        <v>1052</v>
      </c>
      <c r="E155" s="720" t="s">
        <v>1055</v>
      </c>
    </row>
    <row r="156" spans="1:5" s="361" customFormat="1" ht="62.4" hidden="1" x14ac:dyDescent="0.3">
      <c r="A156" s="384" t="s">
        <v>790</v>
      </c>
      <c r="B156" s="376" t="s">
        <v>115</v>
      </c>
      <c r="C156" s="374"/>
      <c r="D156" s="363" t="s">
        <v>1052</v>
      </c>
      <c r="E156" s="362" t="s">
        <v>1056</v>
      </c>
    </row>
    <row r="157" spans="1:5" s="361" customFormat="1" ht="75.75" customHeight="1" x14ac:dyDescent="0.3">
      <c r="A157" s="384" t="s">
        <v>790</v>
      </c>
      <c r="B157" s="376" t="s">
        <v>115</v>
      </c>
      <c r="C157" s="252">
        <v>1000000</v>
      </c>
      <c r="D157" s="1280" t="s">
        <v>1454</v>
      </c>
      <c r="E157" s="720" t="s">
        <v>1453</v>
      </c>
    </row>
    <row r="158" spans="1:5" s="361" customFormat="1" ht="81" hidden="1" customHeight="1" x14ac:dyDescent="0.3">
      <c r="A158" s="384" t="s">
        <v>790</v>
      </c>
      <c r="B158" s="376" t="s">
        <v>115</v>
      </c>
      <c r="C158" s="374"/>
      <c r="D158" s="363" t="s">
        <v>1000</v>
      </c>
      <c r="E158" s="720" t="s">
        <v>1002</v>
      </c>
    </row>
    <row r="159" spans="1:5" s="361" customFormat="1" ht="78" hidden="1" customHeight="1" x14ac:dyDescent="0.3">
      <c r="A159" s="384" t="s">
        <v>790</v>
      </c>
      <c r="B159" s="376" t="s">
        <v>115</v>
      </c>
      <c r="C159" s="374"/>
      <c r="D159" s="363" t="s">
        <v>912</v>
      </c>
      <c r="E159" s="362" t="s">
        <v>958</v>
      </c>
    </row>
    <row r="160" spans="1:5" s="361" customFormat="1" ht="62.4" hidden="1" customHeight="1" x14ac:dyDescent="0.3">
      <c r="A160" s="384" t="s">
        <v>790</v>
      </c>
      <c r="B160" s="376" t="s">
        <v>115</v>
      </c>
      <c r="C160" s="374"/>
      <c r="D160" s="363" t="s">
        <v>791</v>
      </c>
      <c r="E160" s="362" t="s">
        <v>792</v>
      </c>
    </row>
    <row r="161" spans="1:5" s="361" customFormat="1" ht="62.4" hidden="1" customHeight="1" x14ac:dyDescent="0.3">
      <c r="A161" s="384" t="s">
        <v>790</v>
      </c>
      <c r="B161" s="376" t="s">
        <v>115</v>
      </c>
      <c r="C161" s="374"/>
      <c r="D161" s="363" t="s">
        <v>793</v>
      </c>
      <c r="E161" s="362" t="s">
        <v>794</v>
      </c>
    </row>
    <row r="162" spans="1:5" s="361" customFormat="1" ht="78" hidden="1" customHeight="1" x14ac:dyDescent="0.3">
      <c r="A162" s="384" t="s">
        <v>790</v>
      </c>
      <c r="B162" s="376" t="s">
        <v>115</v>
      </c>
      <c r="C162" s="385"/>
      <c r="D162" s="363" t="s">
        <v>1028</v>
      </c>
      <c r="E162" s="720" t="s">
        <v>1029</v>
      </c>
    </row>
    <row r="163" spans="1:5" s="361" customFormat="1" ht="78" hidden="1" customHeight="1" x14ac:dyDescent="0.3">
      <c r="A163" s="384" t="s">
        <v>790</v>
      </c>
      <c r="B163" s="376" t="s">
        <v>115</v>
      </c>
      <c r="C163" s="1188"/>
      <c r="D163" s="374" t="s">
        <v>1300</v>
      </c>
      <c r="E163" s="362" t="s">
        <v>1264</v>
      </c>
    </row>
    <row r="164" spans="1:5" s="361" customFormat="1" ht="62.4" hidden="1" x14ac:dyDescent="0.3">
      <c r="A164" s="384" t="s">
        <v>790</v>
      </c>
      <c r="B164" s="376" t="s">
        <v>115</v>
      </c>
      <c r="C164" s="1188"/>
      <c r="D164" s="374" t="s">
        <v>1300</v>
      </c>
      <c r="E164" s="362" t="s">
        <v>1263</v>
      </c>
    </row>
    <row r="165" spans="1:5" s="361" customFormat="1" ht="77.400000000000006" hidden="1" customHeight="1" x14ac:dyDescent="0.3">
      <c r="A165" s="384" t="s">
        <v>790</v>
      </c>
      <c r="B165" s="376" t="s">
        <v>115</v>
      </c>
      <c r="C165" s="385"/>
      <c r="D165" s="374" t="s">
        <v>1300</v>
      </c>
      <c r="E165" s="362" t="s">
        <v>1048</v>
      </c>
    </row>
    <row r="166" spans="1:5" s="361" customFormat="1" ht="81" hidden="1" x14ac:dyDescent="0.3">
      <c r="A166" s="384" t="s">
        <v>790</v>
      </c>
      <c r="B166" s="376" t="s">
        <v>110</v>
      </c>
      <c r="C166" s="736"/>
      <c r="D166" s="374" t="s">
        <v>1300</v>
      </c>
      <c r="E166" s="362" t="s">
        <v>1231</v>
      </c>
    </row>
    <row r="167" spans="1:5" s="361" customFormat="1" ht="82.2" hidden="1" customHeight="1" x14ac:dyDescent="0.3">
      <c r="A167" s="384" t="s">
        <v>790</v>
      </c>
      <c r="B167" s="376" t="s">
        <v>110</v>
      </c>
      <c r="C167" s="374"/>
      <c r="D167" s="374" t="s">
        <v>1341</v>
      </c>
      <c r="E167" s="720" t="s">
        <v>1397</v>
      </c>
    </row>
    <row r="168" spans="1:5" s="361" customFormat="1" ht="78" hidden="1" customHeight="1" x14ac:dyDescent="0.3">
      <c r="A168" s="384" t="s">
        <v>790</v>
      </c>
      <c r="B168" s="376" t="s">
        <v>110</v>
      </c>
      <c r="C168" s="736"/>
      <c r="D168" s="374" t="s">
        <v>1300</v>
      </c>
      <c r="E168" s="362" t="s">
        <v>795</v>
      </c>
    </row>
    <row r="169" spans="1:5" s="361" customFormat="1" ht="46.95" hidden="1" customHeight="1" x14ac:dyDescent="0.3">
      <c r="A169" s="384" t="s">
        <v>790</v>
      </c>
      <c r="B169" s="376" t="s">
        <v>110</v>
      </c>
      <c r="C169" s="736"/>
      <c r="D169" s="374" t="s">
        <v>1300</v>
      </c>
      <c r="E169" s="362" t="s">
        <v>959</v>
      </c>
    </row>
    <row r="170" spans="1:5" s="386" customFormat="1" ht="55.5" hidden="1" customHeight="1" x14ac:dyDescent="0.3">
      <c r="A170" s="384" t="s">
        <v>790</v>
      </c>
      <c r="B170" s="376" t="s">
        <v>110</v>
      </c>
      <c r="C170" s="736"/>
      <c r="D170" s="374" t="s">
        <v>1300</v>
      </c>
      <c r="E170" s="362" t="s">
        <v>907</v>
      </c>
    </row>
    <row r="171" spans="1:5" s="386" customFormat="1" ht="52.8" hidden="1" x14ac:dyDescent="0.3">
      <c r="A171" s="384" t="s">
        <v>790</v>
      </c>
      <c r="B171" s="376" t="s">
        <v>110</v>
      </c>
      <c r="C171" s="736"/>
      <c r="D171" s="374" t="s">
        <v>1300</v>
      </c>
      <c r="E171" s="362" t="s">
        <v>908</v>
      </c>
    </row>
    <row r="172" spans="1:5" s="386" customFormat="1" ht="59.4" hidden="1" customHeight="1" x14ac:dyDescent="0.3">
      <c r="A172" s="384" t="s">
        <v>790</v>
      </c>
      <c r="B172" s="376" t="s">
        <v>110</v>
      </c>
      <c r="C172" s="1182"/>
      <c r="D172" s="374" t="s">
        <v>1300</v>
      </c>
      <c r="E172" s="720" t="s">
        <v>988</v>
      </c>
    </row>
    <row r="173" spans="1:5" s="386" customFormat="1" ht="57.6" hidden="1" customHeight="1" x14ac:dyDescent="0.3">
      <c r="A173" s="384" t="s">
        <v>790</v>
      </c>
      <c r="B173" s="376" t="s">
        <v>110</v>
      </c>
      <c r="C173" s="736"/>
      <c r="D173" s="374" t="s">
        <v>1300</v>
      </c>
      <c r="E173" s="362" t="s">
        <v>1075</v>
      </c>
    </row>
    <row r="174" spans="1:5" s="386" customFormat="1" ht="52.8" hidden="1" x14ac:dyDescent="0.3">
      <c r="A174" s="384" t="s">
        <v>790</v>
      </c>
      <c r="B174" s="376" t="s">
        <v>110</v>
      </c>
      <c r="C174" s="736"/>
      <c r="D174" s="374" t="s">
        <v>1300</v>
      </c>
      <c r="E174" s="362" t="s">
        <v>1066</v>
      </c>
    </row>
    <row r="175" spans="1:5" s="386" customFormat="1" ht="52.8" hidden="1" x14ac:dyDescent="0.3">
      <c r="A175" s="384" t="s">
        <v>790</v>
      </c>
      <c r="B175" s="376" t="s">
        <v>110</v>
      </c>
      <c r="C175" s="736"/>
      <c r="D175" s="374" t="s">
        <v>1300</v>
      </c>
      <c r="E175" s="362" t="s">
        <v>1076</v>
      </c>
    </row>
    <row r="176" spans="1:5" s="386" customFormat="1" ht="52.8" hidden="1" x14ac:dyDescent="0.3">
      <c r="A176" s="384" t="s">
        <v>790</v>
      </c>
      <c r="B176" s="376" t="s">
        <v>110</v>
      </c>
      <c r="C176" s="736"/>
      <c r="D176" s="374" t="s">
        <v>1300</v>
      </c>
      <c r="E176" s="362" t="s">
        <v>1018</v>
      </c>
    </row>
    <row r="177" spans="1:5" s="386" customFormat="1" ht="62.4" hidden="1" x14ac:dyDescent="0.3">
      <c r="A177" s="384" t="s">
        <v>790</v>
      </c>
      <c r="B177" s="376" t="s">
        <v>110</v>
      </c>
      <c r="C177" s="736"/>
      <c r="D177" s="374" t="s">
        <v>1300</v>
      </c>
      <c r="E177" s="362" t="s">
        <v>1020</v>
      </c>
    </row>
    <row r="178" spans="1:5" s="386" customFormat="1" ht="98.4" hidden="1" customHeight="1" x14ac:dyDescent="0.3">
      <c r="A178" s="384" t="s">
        <v>790</v>
      </c>
      <c r="B178" s="376" t="s">
        <v>110</v>
      </c>
      <c r="C178" s="736"/>
      <c r="D178" s="374" t="s">
        <v>1300</v>
      </c>
      <c r="E178" s="720" t="s">
        <v>960</v>
      </c>
    </row>
    <row r="179" spans="1:5" s="386" customFormat="1" ht="62.4" hidden="1" x14ac:dyDescent="0.3">
      <c r="A179" s="384" t="s">
        <v>790</v>
      </c>
      <c r="B179" s="376" t="s">
        <v>110</v>
      </c>
      <c r="C179" s="1215"/>
      <c r="D179" s="374" t="s">
        <v>1300</v>
      </c>
      <c r="E179" s="362" t="s">
        <v>1259</v>
      </c>
    </row>
    <row r="180" spans="1:5" s="386" customFormat="1" ht="62.4" hidden="1" x14ac:dyDescent="0.3">
      <c r="A180" s="384" t="s">
        <v>790</v>
      </c>
      <c r="B180" s="376" t="s">
        <v>110</v>
      </c>
      <c r="C180" s="1215"/>
      <c r="D180" s="374" t="s">
        <v>1300</v>
      </c>
      <c r="E180" s="362" t="s">
        <v>1260</v>
      </c>
    </row>
    <row r="181" spans="1:5" s="386" customFormat="1" ht="95.4" hidden="1" customHeight="1" x14ac:dyDescent="0.3">
      <c r="A181" s="384" t="s">
        <v>790</v>
      </c>
      <c r="B181" s="376" t="s">
        <v>110</v>
      </c>
      <c r="C181" s="1215"/>
      <c r="D181" s="374" t="s">
        <v>1300</v>
      </c>
      <c r="E181" s="362" t="s">
        <v>1261</v>
      </c>
    </row>
    <row r="182" spans="1:5" s="386" customFormat="1" ht="78" hidden="1" x14ac:dyDescent="0.3">
      <c r="A182" s="384" t="s">
        <v>790</v>
      </c>
      <c r="B182" s="376" t="s">
        <v>110</v>
      </c>
      <c r="C182" s="1215"/>
      <c r="D182" s="374" t="s">
        <v>1300</v>
      </c>
      <c r="E182" s="720" t="s">
        <v>1039</v>
      </c>
    </row>
    <row r="183" spans="1:5" s="386" customFormat="1" ht="62.4" hidden="1" x14ac:dyDescent="0.3">
      <c r="A183" s="384" t="s">
        <v>790</v>
      </c>
      <c r="B183" s="376" t="s">
        <v>110</v>
      </c>
      <c r="C183" s="1188"/>
      <c r="D183" s="374" t="s">
        <v>1300</v>
      </c>
      <c r="E183" s="362" t="s">
        <v>1262</v>
      </c>
    </row>
    <row r="184" spans="1:5" s="386" customFormat="1" ht="62.4" hidden="1" x14ac:dyDescent="0.3">
      <c r="A184" s="384" t="s">
        <v>790</v>
      </c>
      <c r="B184" s="376" t="s">
        <v>110</v>
      </c>
      <c r="C184" s="1188"/>
      <c r="D184" s="363" t="s">
        <v>1208</v>
      </c>
      <c r="E184" s="362" t="s">
        <v>1204</v>
      </c>
    </row>
    <row r="185" spans="1:5" s="386" customFormat="1" ht="78" hidden="1" x14ac:dyDescent="0.3">
      <c r="A185" s="384" t="s">
        <v>790</v>
      </c>
      <c r="B185" s="376" t="s">
        <v>110</v>
      </c>
      <c r="C185" s="1188"/>
      <c r="D185" s="363" t="s">
        <v>1057</v>
      </c>
      <c r="E185" s="362" t="s">
        <v>1058</v>
      </c>
    </row>
    <row r="186" spans="1:5" s="386" customFormat="1" ht="72" hidden="1" customHeight="1" x14ac:dyDescent="0.3">
      <c r="A186" s="384" t="s">
        <v>790</v>
      </c>
      <c r="B186" s="376" t="s">
        <v>110</v>
      </c>
      <c r="C186" s="1188"/>
      <c r="D186" s="363" t="s">
        <v>1057</v>
      </c>
      <c r="E186" s="362" t="s">
        <v>1059</v>
      </c>
    </row>
    <row r="187" spans="1:5" s="386" customFormat="1" ht="74.25" hidden="1" customHeight="1" x14ac:dyDescent="0.3">
      <c r="A187" s="384" t="s">
        <v>790</v>
      </c>
      <c r="B187" s="376" t="s">
        <v>110</v>
      </c>
      <c r="C187" s="1188"/>
      <c r="D187" s="363" t="s">
        <v>1057</v>
      </c>
      <c r="E187" s="362" t="s">
        <v>961</v>
      </c>
    </row>
    <row r="188" spans="1:5" s="386" customFormat="1" ht="85.95" hidden="1" customHeight="1" x14ac:dyDescent="0.3">
      <c r="A188" s="384" t="s">
        <v>790</v>
      </c>
      <c r="B188" s="376" t="s">
        <v>110</v>
      </c>
      <c r="C188" s="1188"/>
      <c r="D188" s="363" t="s">
        <v>1057</v>
      </c>
      <c r="E188" s="362" t="s">
        <v>1061</v>
      </c>
    </row>
    <row r="189" spans="1:5" s="386" customFormat="1" ht="78.599999999999994" hidden="1" customHeight="1" x14ac:dyDescent="0.3">
      <c r="A189" s="384" t="s">
        <v>790</v>
      </c>
      <c r="B189" s="376" t="s">
        <v>110</v>
      </c>
      <c r="C189" s="1188"/>
      <c r="D189" s="363" t="s">
        <v>1057</v>
      </c>
      <c r="E189" s="362" t="s">
        <v>1062</v>
      </c>
    </row>
    <row r="190" spans="1:5" s="386" customFormat="1" ht="72.75" hidden="1" customHeight="1" x14ac:dyDescent="0.3">
      <c r="A190" s="384" t="s">
        <v>790</v>
      </c>
      <c r="B190" s="376" t="s">
        <v>110</v>
      </c>
      <c r="C190" s="1188"/>
      <c r="D190" s="363" t="s">
        <v>1057</v>
      </c>
      <c r="E190" s="362" t="s">
        <v>1060</v>
      </c>
    </row>
    <row r="191" spans="1:5" s="386" customFormat="1" ht="62.4" hidden="1" x14ac:dyDescent="0.3">
      <c r="A191" s="384" t="s">
        <v>790</v>
      </c>
      <c r="B191" s="376" t="s">
        <v>110</v>
      </c>
      <c r="C191" s="1284"/>
      <c r="D191" s="363" t="s">
        <v>1419</v>
      </c>
      <c r="E191" s="362" t="s">
        <v>1421</v>
      </c>
    </row>
    <row r="192" spans="1:5" s="386" customFormat="1" ht="62.4" hidden="1" x14ac:dyDescent="0.3">
      <c r="A192" s="384" t="s">
        <v>790</v>
      </c>
      <c r="B192" s="376" t="s">
        <v>110</v>
      </c>
      <c r="C192" s="1284"/>
      <c r="D192" s="363" t="s">
        <v>1419</v>
      </c>
      <c r="E192" s="720" t="s">
        <v>1420</v>
      </c>
    </row>
    <row r="193" spans="1:5" s="386" customFormat="1" ht="52.8" hidden="1" x14ac:dyDescent="0.3">
      <c r="A193" s="384" t="s">
        <v>790</v>
      </c>
      <c r="B193" s="376" t="s">
        <v>110</v>
      </c>
      <c r="C193" s="1215"/>
      <c r="D193" s="363" t="s">
        <v>943</v>
      </c>
      <c r="E193" s="362" t="s">
        <v>951</v>
      </c>
    </row>
    <row r="194" spans="1:5" s="386" customFormat="1" ht="52.8" hidden="1" x14ac:dyDescent="0.3">
      <c r="A194" s="384" t="s">
        <v>790</v>
      </c>
      <c r="B194" s="376" t="s">
        <v>110</v>
      </c>
      <c r="C194" s="1188"/>
      <c r="D194" s="363" t="s">
        <v>943</v>
      </c>
      <c r="E194" s="362" t="s">
        <v>952</v>
      </c>
    </row>
    <row r="195" spans="1:5" s="386" customFormat="1" ht="66.599999999999994" hidden="1" customHeight="1" x14ac:dyDescent="0.3">
      <c r="A195" s="384" t="s">
        <v>790</v>
      </c>
      <c r="B195" s="376" t="s">
        <v>110</v>
      </c>
      <c r="C195" s="1188"/>
      <c r="D195" s="363" t="s">
        <v>943</v>
      </c>
      <c r="E195" s="362" t="s">
        <v>953</v>
      </c>
    </row>
    <row r="196" spans="1:5" s="386" customFormat="1" ht="52.8" hidden="1" x14ac:dyDescent="0.3">
      <c r="A196" s="384" t="s">
        <v>790</v>
      </c>
      <c r="B196" s="376" t="s">
        <v>110</v>
      </c>
      <c r="C196" s="1188"/>
      <c r="D196" s="363" t="s">
        <v>943</v>
      </c>
      <c r="E196" s="720" t="s">
        <v>954</v>
      </c>
    </row>
    <row r="197" spans="1:5" s="386" customFormat="1" ht="69.75" hidden="1" customHeight="1" x14ac:dyDescent="0.3">
      <c r="A197" s="384" t="s">
        <v>790</v>
      </c>
      <c r="B197" s="376" t="s">
        <v>110</v>
      </c>
      <c r="C197" s="1188"/>
      <c r="D197" s="363" t="s">
        <v>943</v>
      </c>
      <c r="E197" s="362" t="s">
        <v>955</v>
      </c>
    </row>
    <row r="198" spans="1:5" s="386" customFormat="1" ht="52.8" hidden="1" x14ac:dyDescent="0.3">
      <c r="A198" s="384" t="s">
        <v>790</v>
      </c>
      <c r="B198" s="376" t="s">
        <v>110</v>
      </c>
      <c r="C198" s="1215"/>
      <c r="D198" s="681" t="s">
        <v>1032</v>
      </c>
      <c r="E198" s="362" t="s">
        <v>1035</v>
      </c>
    </row>
    <row r="199" spans="1:5" s="386" customFormat="1" ht="52.8" hidden="1" x14ac:dyDescent="0.3">
      <c r="A199" s="384" t="s">
        <v>790</v>
      </c>
      <c r="B199" s="376" t="s">
        <v>110</v>
      </c>
      <c r="C199" s="1215"/>
      <c r="D199" s="681" t="s">
        <v>1032</v>
      </c>
      <c r="E199" s="362" t="s">
        <v>1034</v>
      </c>
    </row>
    <row r="200" spans="1:5" s="386" customFormat="1" ht="52.8" hidden="1" x14ac:dyDescent="0.3">
      <c r="A200" s="384" t="s">
        <v>790</v>
      </c>
      <c r="B200" s="376" t="s">
        <v>110</v>
      </c>
      <c r="C200" s="1215"/>
      <c r="D200" s="681" t="s">
        <v>1032</v>
      </c>
      <c r="E200" s="362" t="s">
        <v>796</v>
      </c>
    </row>
    <row r="201" spans="1:5" s="386" customFormat="1" ht="58.2" hidden="1" customHeight="1" x14ac:dyDescent="0.3">
      <c r="A201" s="384" t="s">
        <v>790</v>
      </c>
      <c r="B201" s="376" t="s">
        <v>110</v>
      </c>
      <c r="C201" s="1215"/>
      <c r="D201" s="681" t="s">
        <v>1032</v>
      </c>
      <c r="E201" s="362" t="s">
        <v>1033</v>
      </c>
    </row>
    <row r="202" spans="1:5" s="386" customFormat="1" ht="52.8" hidden="1" x14ac:dyDescent="0.3">
      <c r="A202" s="384" t="s">
        <v>790</v>
      </c>
      <c r="B202" s="376" t="s">
        <v>110</v>
      </c>
      <c r="C202" s="1188"/>
      <c r="D202" s="363" t="s">
        <v>919</v>
      </c>
      <c r="E202" s="362" t="s">
        <v>962</v>
      </c>
    </row>
    <row r="203" spans="1:5" s="361" customFormat="1" ht="62.4" hidden="1" x14ac:dyDescent="0.3">
      <c r="A203" s="384" t="s">
        <v>790</v>
      </c>
      <c r="B203" s="376" t="s">
        <v>110</v>
      </c>
      <c r="C203" s="1188"/>
      <c r="D203" s="363" t="s">
        <v>1249</v>
      </c>
      <c r="E203" s="720" t="s">
        <v>1251</v>
      </c>
    </row>
    <row r="204" spans="1:5" s="361" customFormat="1" ht="52.8" hidden="1" x14ac:dyDescent="0.3">
      <c r="A204" s="384" t="s">
        <v>790</v>
      </c>
      <c r="B204" s="376" t="s">
        <v>110</v>
      </c>
      <c r="C204" s="1188"/>
      <c r="D204" s="363" t="s">
        <v>919</v>
      </c>
      <c r="E204" s="720" t="s">
        <v>963</v>
      </c>
    </row>
    <row r="205" spans="1:5" s="361" customFormat="1" ht="62.4" hidden="1" x14ac:dyDescent="0.3">
      <c r="A205" s="384" t="s">
        <v>790</v>
      </c>
      <c r="B205" s="376" t="s">
        <v>110</v>
      </c>
      <c r="C205" s="1188"/>
      <c r="D205" s="363" t="s">
        <v>1249</v>
      </c>
      <c r="E205" s="720" t="s">
        <v>1250</v>
      </c>
    </row>
    <row r="206" spans="1:5" s="361" customFormat="1" ht="87.75" hidden="1" customHeight="1" x14ac:dyDescent="0.3">
      <c r="A206" s="384" t="s">
        <v>790</v>
      </c>
      <c r="B206" s="376" t="s">
        <v>110</v>
      </c>
      <c r="C206" s="1188"/>
      <c r="D206" s="363" t="s">
        <v>1331</v>
      </c>
      <c r="E206" s="362" t="s">
        <v>1335</v>
      </c>
    </row>
    <row r="207" spans="1:5" s="361" customFormat="1" ht="62.4" hidden="1" x14ac:dyDescent="0.3">
      <c r="A207" s="384" t="s">
        <v>790</v>
      </c>
      <c r="B207" s="376" t="s">
        <v>92</v>
      </c>
      <c r="C207" s="1182"/>
      <c r="D207" s="252" t="s">
        <v>1232</v>
      </c>
      <c r="E207" s="362" t="s">
        <v>1240</v>
      </c>
    </row>
    <row r="208" spans="1:5" s="361" customFormat="1" ht="62.4" hidden="1" x14ac:dyDescent="0.3">
      <c r="A208" s="384" t="s">
        <v>790</v>
      </c>
      <c r="B208" s="376" t="s">
        <v>92</v>
      </c>
      <c r="C208" s="252"/>
      <c r="D208" s="252" t="s">
        <v>1392</v>
      </c>
      <c r="E208" s="711" t="s">
        <v>1347</v>
      </c>
    </row>
    <row r="209" spans="1:5" s="361" customFormat="1" ht="52.8" hidden="1" x14ac:dyDescent="0.3">
      <c r="A209" s="384" t="s">
        <v>790</v>
      </c>
      <c r="B209" s="376" t="s">
        <v>92</v>
      </c>
      <c r="C209" s="252"/>
      <c r="D209" s="252" t="s">
        <v>1392</v>
      </c>
      <c r="E209" s="711" t="s">
        <v>1346</v>
      </c>
    </row>
    <row r="210" spans="1:5" s="361" customFormat="1" ht="52.8" hidden="1" x14ac:dyDescent="0.3">
      <c r="A210" s="384" t="s">
        <v>790</v>
      </c>
      <c r="B210" s="376" t="s">
        <v>92</v>
      </c>
      <c r="C210" s="252"/>
      <c r="D210" s="252" t="s">
        <v>1392</v>
      </c>
      <c r="E210" s="711" t="s">
        <v>1349</v>
      </c>
    </row>
    <row r="211" spans="1:5" s="361" customFormat="1" ht="52.8" hidden="1" x14ac:dyDescent="0.3">
      <c r="A211" s="384" t="s">
        <v>790</v>
      </c>
      <c r="B211" s="376" t="s">
        <v>92</v>
      </c>
      <c r="C211" s="252"/>
      <c r="D211" s="252" t="s">
        <v>1392</v>
      </c>
      <c r="E211" s="711" t="s">
        <v>1348</v>
      </c>
    </row>
    <row r="212" spans="1:5" s="361" customFormat="1" ht="52.8" hidden="1" x14ac:dyDescent="0.3">
      <c r="A212" s="384" t="s">
        <v>790</v>
      </c>
      <c r="B212" s="376" t="s">
        <v>92</v>
      </c>
      <c r="C212" s="252"/>
      <c r="D212" s="252" t="s">
        <v>1392</v>
      </c>
      <c r="E212" s="711" t="s">
        <v>1350</v>
      </c>
    </row>
    <row r="213" spans="1:5" s="361" customFormat="1" ht="52.8" hidden="1" x14ac:dyDescent="0.3">
      <c r="A213" s="384" t="s">
        <v>790</v>
      </c>
      <c r="B213" s="376" t="s">
        <v>92</v>
      </c>
      <c r="C213" s="252"/>
      <c r="D213" s="252" t="s">
        <v>1392</v>
      </c>
      <c r="E213" s="711" t="s">
        <v>1351</v>
      </c>
    </row>
    <row r="214" spans="1:5" s="361" customFormat="1" ht="52.8" hidden="1" x14ac:dyDescent="0.3">
      <c r="A214" s="384" t="s">
        <v>790</v>
      </c>
      <c r="B214" s="376" t="s">
        <v>92</v>
      </c>
      <c r="C214" s="252"/>
      <c r="D214" s="252" t="s">
        <v>1392</v>
      </c>
      <c r="E214" s="711" t="s">
        <v>1352</v>
      </c>
    </row>
    <row r="215" spans="1:5" s="361" customFormat="1" ht="52.8" hidden="1" x14ac:dyDescent="0.3">
      <c r="A215" s="384" t="s">
        <v>790</v>
      </c>
      <c r="B215" s="376" t="s">
        <v>92</v>
      </c>
      <c r="C215" s="252"/>
      <c r="D215" s="252" t="s">
        <v>1392</v>
      </c>
      <c r="E215" s="711" t="s">
        <v>1353</v>
      </c>
    </row>
    <row r="216" spans="1:5" s="361" customFormat="1" ht="62.4" hidden="1" x14ac:dyDescent="0.3">
      <c r="A216" s="384" t="s">
        <v>790</v>
      </c>
      <c r="B216" s="376" t="s">
        <v>92</v>
      </c>
      <c r="C216" s="252"/>
      <c r="D216" s="252" t="s">
        <v>1392</v>
      </c>
      <c r="E216" s="711" t="s">
        <v>1354</v>
      </c>
    </row>
    <row r="217" spans="1:5" s="361" customFormat="1" ht="52.8" hidden="1" x14ac:dyDescent="0.3">
      <c r="A217" s="384" t="s">
        <v>790</v>
      </c>
      <c r="B217" s="376" t="s">
        <v>92</v>
      </c>
      <c r="C217" s="252"/>
      <c r="D217" s="252" t="s">
        <v>1392</v>
      </c>
      <c r="E217" s="711" t="s">
        <v>1355</v>
      </c>
    </row>
    <row r="218" spans="1:5" s="361" customFormat="1" ht="62.4" hidden="1" x14ac:dyDescent="0.3">
      <c r="A218" s="384" t="s">
        <v>790</v>
      </c>
      <c r="B218" s="376" t="s">
        <v>516</v>
      </c>
      <c r="C218" s="252"/>
      <c r="D218" s="252" t="s">
        <v>1392</v>
      </c>
      <c r="E218" s="362" t="s">
        <v>1358</v>
      </c>
    </row>
    <row r="219" spans="1:5" s="361" customFormat="1" ht="52.8" hidden="1" x14ac:dyDescent="0.3">
      <c r="A219" s="384" t="s">
        <v>790</v>
      </c>
      <c r="B219" s="376" t="s">
        <v>516</v>
      </c>
      <c r="C219" s="252"/>
      <c r="D219" s="252" t="s">
        <v>1392</v>
      </c>
      <c r="E219" s="362" t="s">
        <v>1357</v>
      </c>
    </row>
    <row r="220" spans="1:5" s="361" customFormat="1" ht="52.8" hidden="1" x14ac:dyDescent="0.3">
      <c r="A220" s="384" t="s">
        <v>790</v>
      </c>
      <c r="B220" s="376" t="s">
        <v>516</v>
      </c>
      <c r="C220" s="252"/>
      <c r="D220" s="252" t="s">
        <v>1392</v>
      </c>
      <c r="E220" s="362" t="s">
        <v>1356</v>
      </c>
    </row>
    <row r="221" spans="1:5" s="361" customFormat="1" ht="52.8" hidden="1" x14ac:dyDescent="0.3">
      <c r="A221" s="384" t="s">
        <v>790</v>
      </c>
      <c r="B221" s="376" t="s">
        <v>516</v>
      </c>
      <c r="C221" s="252"/>
      <c r="D221" s="252" t="s">
        <v>1392</v>
      </c>
      <c r="E221" s="362" t="s">
        <v>1359</v>
      </c>
    </row>
    <row r="222" spans="1:5" s="361" customFormat="1" ht="52.8" hidden="1" x14ac:dyDescent="0.3">
      <c r="A222" s="384" t="s">
        <v>790</v>
      </c>
      <c r="B222" s="376" t="s">
        <v>516</v>
      </c>
      <c r="C222" s="252"/>
      <c r="D222" s="252" t="s">
        <v>1392</v>
      </c>
      <c r="E222" s="362" t="s">
        <v>1360</v>
      </c>
    </row>
    <row r="223" spans="1:5" s="361" customFormat="1" ht="52.8" hidden="1" x14ac:dyDescent="0.3">
      <c r="A223" s="384" t="s">
        <v>790</v>
      </c>
      <c r="B223" s="376" t="s">
        <v>516</v>
      </c>
      <c r="C223" s="252"/>
      <c r="D223" s="252" t="s">
        <v>1392</v>
      </c>
      <c r="E223" s="362" t="s">
        <v>1361</v>
      </c>
    </row>
    <row r="224" spans="1:5" s="361" customFormat="1" ht="52.8" hidden="1" x14ac:dyDescent="0.3">
      <c r="A224" s="384" t="s">
        <v>790</v>
      </c>
      <c r="B224" s="376" t="s">
        <v>516</v>
      </c>
      <c r="C224" s="252"/>
      <c r="D224" s="252" t="s">
        <v>1392</v>
      </c>
      <c r="E224" s="362" t="s">
        <v>1362</v>
      </c>
    </row>
    <row r="225" spans="1:5" s="361" customFormat="1" ht="52.8" hidden="1" x14ac:dyDescent="0.3">
      <c r="A225" s="384" t="s">
        <v>790</v>
      </c>
      <c r="B225" s="376" t="s">
        <v>516</v>
      </c>
      <c r="C225" s="252"/>
      <c r="D225" s="252" t="s">
        <v>1392</v>
      </c>
      <c r="E225" s="362" t="s">
        <v>1363</v>
      </c>
    </row>
    <row r="226" spans="1:5" s="361" customFormat="1" ht="52.8" hidden="1" x14ac:dyDescent="0.3">
      <c r="A226" s="384" t="s">
        <v>790</v>
      </c>
      <c r="B226" s="376" t="s">
        <v>516</v>
      </c>
      <c r="C226" s="252"/>
      <c r="D226" s="252" t="s">
        <v>1392</v>
      </c>
      <c r="E226" s="362" t="s">
        <v>1364</v>
      </c>
    </row>
    <row r="227" spans="1:5" s="361" customFormat="1" ht="52.8" hidden="1" x14ac:dyDescent="0.3">
      <c r="A227" s="384" t="s">
        <v>790</v>
      </c>
      <c r="B227" s="376" t="s">
        <v>516</v>
      </c>
      <c r="C227" s="252"/>
      <c r="D227" s="252" t="s">
        <v>1392</v>
      </c>
      <c r="E227" s="362" t="s">
        <v>1365</v>
      </c>
    </row>
    <row r="228" spans="1:5" s="361" customFormat="1" ht="62.4" hidden="1" x14ac:dyDescent="0.3">
      <c r="A228" s="384" t="s">
        <v>790</v>
      </c>
      <c r="B228" s="376" t="s">
        <v>516</v>
      </c>
      <c r="C228" s="252"/>
      <c r="D228" s="252" t="s">
        <v>1392</v>
      </c>
      <c r="E228" s="362" t="s">
        <v>1366</v>
      </c>
    </row>
    <row r="229" spans="1:5" s="361" customFormat="1" ht="52.8" hidden="1" x14ac:dyDescent="0.3">
      <c r="A229" s="384" t="s">
        <v>790</v>
      </c>
      <c r="B229" s="376" t="s">
        <v>516</v>
      </c>
      <c r="C229" s="252"/>
      <c r="D229" s="252" t="s">
        <v>1392</v>
      </c>
      <c r="E229" s="362" t="s">
        <v>1367</v>
      </c>
    </row>
    <row r="230" spans="1:5" s="361" customFormat="1" ht="52.8" hidden="1" x14ac:dyDescent="0.3">
      <c r="A230" s="384" t="s">
        <v>790</v>
      </c>
      <c r="B230" s="376" t="s">
        <v>516</v>
      </c>
      <c r="C230" s="252"/>
      <c r="D230" s="252" t="s">
        <v>1392</v>
      </c>
      <c r="E230" s="362" t="s">
        <v>1368</v>
      </c>
    </row>
    <row r="231" spans="1:5" s="361" customFormat="1" ht="52.8" hidden="1" x14ac:dyDescent="0.3">
      <c r="A231" s="384" t="s">
        <v>790</v>
      </c>
      <c r="B231" s="376" t="s">
        <v>516</v>
      </c>
      <c r="C231" s="252"/>
      <c r="D231" s="252" t="s">
        <v>1392</v>
      </c>
      <c r="E231" s="362" t="s">
        <v>1369</v>
      </c>
    </row>
    <row r="232" spans="1:5" s="361" customFormat="1" ht="52.8" hidden="1" x14ac:dyDescent="0.3">
      <c r="A232" s="384" t="s">
        <v>790</v>
      </c>
      <c r="B232" s="376" t="s">
        <v>516</v>
      </c>
      <c r="C232" s="252"/>
      <c r="D232" s="252" t="s">
        <v>1392</v>
      </c>
      <c r="E232" s="362" t="s">
        <v>1370</v>
      </c>
    </row>
    <row r="233" spans="1:5" s="361" customFormat="1" ht="52.8" hidden="1" x14ac:dyDescent="0.3">
      <c r="A233" s="384" t="s">
        <v>790</v>
      </c>
      <c r="B233" s="376" t="s">
        <v>516</v>
      </c>
      <c r="C233" s="252"/>
      <c r="D233" s="252" t="s">
        <v>1392</v>
      </c>
      <c r="E233" s="362" t="s">
        <v>1371</v>
      </c>
    </row>
    <row r="234" spans="1:5" s="361" customFormat="1" ht="52.8" hidden="1" x14ac:dyDescent="0.3">
      <c r="A234" s="384" t="s">
        <v>790</v>
      </c>
      <c r="B234" s="376" t="s">
        <v>516</v>
      </c>
      <c r="C234" s="252"/>
      <c r="D234" s="252" t="s">
        <v>1392</v>
      </c>
      <c r="E234" s="362" t="s">
        <v>1372</v>
      </c>
    </row>
    <row r="235" spans="1:5" s="361" customFormat="1" ht="78" hidden="1" customHeight="1" x14ac:dyDescent="0.3">
      <c r="A235" s="384" t="s">
        <v>790</v>
      </c>
      <c r="B235" s="376" t="s">
        <v>516</v>
      </c>
      <c r="C235" s="374"/>
      <c r="D235" s="252" t="s">
        <v>1392</v>
      </c>
      <c r="E235" s="362" t="s">
        <v>1373</v>
      </c>
    </row>
    <row r="236" spans="1:5" s="361" customFormat="1" ht="78" hidden="1" customHeight="1" x14ac:dyDescent="0.3">
      <c r="A236" s="384" t="s">
        <v>790</v>
      </c>
      <c r="B236" s="376" t="s">
        <v>516</v>
      </c>
      <c r="C236" s="374"/>
      <c r="D236" s="252" t="s">
        <v>1392</v>
      </c>
      <c r="E236" s="362" t="s">
        <v>1414</v>
      </c>
    </row>
    <row r="237" spans="1:5" s="361" customFormat="1" ht="78" hidden="1" customHeight="1" x14ac:dyDescent="0.3">
      <c r="A237" s="384" t="s">
        <v>790</v>
      </c>
      <c r="B237" s="376" t="s">
        <v>516</v>
      </c>
      <c r="C237" s="374"/>
      <c r="D237" s="252" t="s">
        <v>1392</v>
      </c>
      <c r="E237" s="362" t="s">
        <v>1381</v>
      </c>
    </row>
    <row r="238" spans="1:5" s="361" customFormat="1" ht="140.4" hidden="1" x14ac:dyDescent="0.3">
      <c r="A238" s="384" t="s">
        <v>790</v>
      </c>
      <c r="B238" s="376" t="s">
        <v>516</v>
      </c>
      <c r="C238" s="736"/>
      <c r="D238" s="363" t="s">
        <v>1161</v>
      </c>
      <c r="E238" s="720" t="s">
        <v>1168</v>
      </c>
    </row>
    <row r="239" spans="1:5" s="361" customFormat="1" ht="52.8" hidden="1" x14ac:dyDescent="0.3">
      <c r="A239" s="384" t="s">
        <v>790</v>
      </c>
      <c r="B239" s="376" t="s">
        <v>516</v>
      </c>
      <c r="C239" s="736"/>
      <c r="D239" s="252" t="s">
        <v>1228</v>
      </c>
      <c r="E239" s="720" t="s">
        <v>1241</v>
      </c>
    </row>
    <row r="240" spans="1:5" s="361" customFormat="1" ht="65.400000000000006" hidden="1" x14ac:dyDescent="0.3">
      <c r="A240" s="384" t="s">
        <v>790</v>
      </c>
      <c r="B240" s="376" t="s">
        <v>87</v>
      </c>
      <c r="C240" s="1182"/>
      <c r="D240" s="252" t="s">
        <v>1339</v>
      </c>
      <c r="E240" s="362" t="s">
        <v>1398</v>
      </c>
    </row>
    <row r="241" spans="1:5" s="361" customFormat="1" ht="65.400000000000006" hidden="1" x14ac:dyDescent="0.3">
      <c r="A241" s="384" t="s">
        <v>790</v>
      </c>
      <c r="B241" s="376" t="s">
        <v>72</v>
      </c>
      <c r="C241" s="736"/>
      <c r="D241" s="363" t="s">
        <v>1172</v>
      </c>
      <c r="E241" s="578" t="s">
        <v>1188</v>
      </c>
    </row>
    <row r="242" spans="1:5" s="361" customFormat="1" ht="140.4" hidden="1" x14ac:dyDescent="0.3">
      <c r="A242" s="384" t="s">
        <v>790</v>
      </c>
      <c r="B242" s="376" t="s">
        <v>1014</v>
      </c>
      <c r="C242" s="736"/>
      <c r="D242" s="363" t="s">
        <v>1161</v>
      </c>
      <c r="E242" s="720" t="s">
        <v>1168</v>
      </c>
    </row>
    <row r="243" spans="1:5" s="361" customFormat="1" ht="72" hidden="1" customHeight="1" x14ac:dyDescent="0.3">
      <c r="A243" s="384" t="s">
        <v>790</v>
      </c>
      <c r="B243" s="376" t="s">
        <v>516</v>
      </c>
      <c r="C243" s="374"/>
      <c r="D243" s="363" t="s">
        <v>991</v>
      </c>
      <c r="E243" s="720" t="s">
        <v>995</v>
      </c>
    </row>
    <row r="244" spans="1:5" s="361" customFormat="1" ht="72" hidden="1" customHeight="1" x14ac:dyDescent="0.3">
      <c r="A244" s="384" t="s">
        <v>790</v>
      </c>
      <c r="B244" s="376" t="s">
        <v>628</v>
      </c>
      <c r="C244" s="252"/>
      <c r="D244" s="252" t="s">
        <v>1392</v>
      </c>
      <c r="E244" s="711" t="s">
        <v>1407</v>
      </c>
    </row>
    <row r="245" spans="1:5" s="361" customFormat="1" ht="72" hidden="1" customHeight="1" x14ac:dyDescent="0.3">
      <c r="A245" s="384" t="s">
        <v>790</v>
      </c>
      <c r="B245" s="376" t="s">
        <v>628</v>
      </c>
      <c r="C245" s="252"/>
      <c r="D245" s="252" t="s">
        <v>1392</v>
      </c>
      <c r="E245" s="711" t="s">
        <v>1408</v>
      </c>
    </row>
    <row r="246" spans="1:5" s="361" customFormat="1" ht="72" hidden="1" customHeight="1" x14ac:dyDescent="0.3">
      <c r="A246" s="384" t="s">
        <v>790</v>
      </c>
      <c r="B246" s="376" t="s">
        <v>628</v>
      </c>
      <c r="C246" s="252"/>
      <c r="D246" s="252" t="s">
        <v>1392</v>
      </c>
      <c r="E246" s="711" t="s">
        <v>1409</v>
      </c>
    </row>
    <row r="247" spans="1:5" s="361" customFormat="1" ht="72" hidden="1" customHeight="1" x14ac:dyDescent="0.3">
      <c r="A247" s="384" t="s">
        <v>790</v>
      </c>
      <c r="B247" s="376" t="s">
        <v>628</v>
      </c>
      <c r="C247" s="252"/>
      <c r="D247" s="252" t="s">
        <v>1392</v>
      </c>
      <c r="E247" s="711" t="s">
        <v>1410</v>
      </c>
    </row>
    <row r="248" spans="1:5" s="361" customFormat="1" ht="72" hidden="1" customHeight="1" x14ac:dyDescent="0.3">
      <c r="A248" s="384" t="s">
        <v>790</v>
      </c>
      <c r="B248" s="376" t="s">
        <v>628</v>
      </c>
      <c r="C248" s="252"/>
      <c r="D248" s="252" t="s">
        <v>1392</v>
      </c>
      <c r="E248" s="711" t="s">
        <v>1374</v>
      </c>
    </row>
    <row r="249" spans="1:5" s="361" customFormat="1" ht="72" hidden="1" customHeight="1" x14ac:dyDescent="0.3">
      <c r="A249" s="384" t="s">
        <v>790</v>
      </c>
      <c r="B249" s="376" t="s">
        <v>628</v>
      </c>
      <c r="C249" s="252"/>
      <c r="D249" s="252" t="s">
        <v>1392</v>
      </c>
      <c r="E249" s="711" t="s">
        <v>1375</v>
      </c>
    </row>
    <row r="250" spans="1:5" s="361" customFormat="1" ht="72" hidden="1" customHeight="1" x14ac:dyDescent="0.3">
      <c r="A250" s="384" t="s">
        <v>790</v>
      </c>
      <c r="B250" s="376" t="s">
        <v>628</v>
      </c>
      <c r="C250" s="252"/>
      <c r="D250" s="252" t="s">
        <v>1392</v>
      </c>
      <c r="E250" s="711" t="s">
        <v>1411</v>
      </c>
    </row>
    <row r="251" spans="1:5" s="361" customFormat="1" ht="59.4" hidden="1" customHeight="1" x14ac:dyDescent="0.3">
      <c r="A251" s="384" t="s">
        <v>790</v>
      </c>
      <c r="B251" s="376" t="s">
        <v>628</v>
      </c>
      <c r="C251" s="374"/>
      <c r="D251" s="252" t="s">
        <v>1392</v>
      </c>
      <c r="E251" s="711" t="s">
        <v>1412</v>
      </c>
    </row>
    <row r="252" spans="1:5" s="361" customFormat="1" ht="140.4" x14ac:dyDescent="0.3">
      <c r="A252" s="384" t="s">
        <v>790</v>
      </c>
      <c r="B252" s="376" t="s">
        <v>628</v>
      </c>
      <c r="C252" s="1182">
        <v>99994</v>
      </c>
      <c r="D252" s="1280" t="s">
        <v>1336</v>
      </c>
      <c r="E252" s="720" t="s">
        <v>1431</v>
      </c>
    </row>
    <row r="253" spans="1:5" s="361" customFormat="1" ht="49.95" hidden="1" customHeight="1" x14ac:dyDescent="0.3">
      <c r="A253" s="384" t="s">
        <v>790</v>
      </c>
      <c r="B253" s="376" t="s">
        <v>628</v>
      </c>
      <c r="C253" s="374"/>
      <c r="D253" s="363" t="s">
        <v>1017</v>
      </c>
      <c r="E253" s="720" t="s">
        <v>1023</v>
      </c>
    </row>
    <row r="254" spans="1:5" s="361" customFormat="1" ht="78" hidden="1" customHeight="1" x14ac:dyDescent="0.3">
      <c r="A254" s="384" t="s">
        <v>790</v>
      </c>
      <c r="B254" s="376" t="s">
        <v>628</v>
      </c>
      <c r="C254" s="374"/>
      <c r="D254" s="363" t="s">
        <v>1017</v>
      </c>
      <c r="E254" s="720" t="s">
        <v>1037</v>
      </c>
    </row>
    <row r="255" spans="1:5" s="361" customFormat="1" ht="66.599999999999994" hidden="1" customHeight="1" x14ac:dyDescent="0.3">
      <c r="A255" s="384" t="s">
        <v>790</v>
      </c>
      <c r="B255" s="376" t="s">
        <v>72</v>
      </c>
      <c r="C255" s="374"/>
      <c r="D255" s="363" t="s">
        <v>1009</v>
      </c>
      <c r="E255" s="720" t="s">
        <v>1010</v>
      </c>
    </row>
    <row r="256" spans="1:5" s="361" customFormat="1" ht="140.4" hidden="1" x14ac:dyDescent="0.3">
      <c r="A256" s="384" t="s">
        <v>790</v>
      </c>
      <c r="B256" s="376" t="s">
        <v>72</v>
      </c>
      <c r="C256" s="374"/>
      <c r="D256" s="374" t="s">
        <v>1030</v>
      </c>
      <c r="E256" s="672" t="s">
        <v>1013</v>
      </c>
    </row>
    <row r="257" spans="1:5" s="361" customFormat="1" ht="52.8" hidden="1" x14ac:dyDescent="0.3">
      <c r="A257" s="384" t="s">
        <v>790</v>
      </c>
      <c r="B257" s="376" t="s">
        <v>599</v>
      </c>
      <c r="C257" s="374"/>
      <c r="D257" s="374" t="s">
        <v>1030</v>
      </c>
      <c r="E257" s="720" t="s">
        <v>1031</v>
      </c>
    </row>
    <row r="258" spans="1:5" s="361" customFormat="1" ht="70.95" hidden="1" customHeight="1" x14ac:dyDescent="0.3">
      <c r="A258" s="384" t="s">
        <v>790</v>
      </c>
      <c r="B258" s="376" t="s">
        <v>628</v>
      </c>
      <c r="C258" s="374"/>
      <c r="D258" s="363" t="s">
        <v>1009</v>
      </c>
      <c r="E258" s="720" t="s">
        <v>1003</v>
      </c>
    </row>
    <row r="259" spans="1:5" s="361" customFormat="1" ht="48.6" hidden="1" customHeight="1" x14ac:dyDescent="0.3">
      <c r="A259" s="384" t="s">
        <v>790</v>
      </c>
      <c r="B259" s="376" t="s">
        <v>628</v>
      </c>
      <c r="C259" s="374"/>
      <c r="D259" s="252" t="s">
        <v>1233</v>
      </c>
      <c r="E259" s="720" t="s">
        <v>1242</v>
      </c>
    </row>
    <row r="260" spans="1:5" s="361" customFormat="1" ht="52.8" hidden="1" x14ac:dyDescent="0.3">
      <c r="A260" s="384" t="s">
        <v>790</v>
      </c>
      <c r="B260" s="376" t="s">
        <v>628</v>
      </c>
      <c r="C260" s="374"/>
      <c r="D260" s="252" t="s">
        <v>1233</v>
      </c>
      <c r="E260" s="720" t="s">
        <v>1243</v>
      </c>
    </row>
    <row r="261" spans="1:5" s="361" customFormat="1" ht="67.8" hidden="1" customHeight="1" x14ac:dyDescent="0.3">
      <c r="A261" s="384" t="s">
        <v>790</v>
      </c>
      <c r="B261" s="376" t="s">
        <v>65</v>
      </c>
      <c r="C261" s="1182"/>
      <c r="D261" s="1047" t="s">
        <v>1194</v>
      </c>
      <c r="E261" s="720" t="s">
        <v>1197</v>
      </c>
    </row>
    <row r="262" spans="1:5" s="361" customFormat="1" ht="63" customHeight="1" x14ac:dyDescent="0.3">
      <c r="A262" s="384" t="s">
        <v>790</v>
      </c>
      <c r="B262" s="376" t="s">
        <v>65</v>
      </c>
      <c r="C262" s="374">
        <v>-1000000</v>
      </c>
      <c r="D262" s="1280" t="s">
        <v>1455</v>
      </c>
      <c r="E262" s="720" t="s">
        <v>1456</v>
      </c>
    </row>
    <row r="263" spans="1:5" s="361" customFormat="1" ht="60.6" hidden="1" customHeight="1" x14ac:dyDescent="0.3">
      <c r="A263" s="384" t="s">
        <v>790</v>
      </c>
      <c r="B263" s="373" t="s">
        <v>65</v>
      </c>
      <c r="C263" s="374"/>
      <c r="D263" s="363" t="s">
        <v>992</v>
      </c>
      <c r="E263" s="720" t="s">
        <v>993</v>
      </c>
    </row>
    <row r="264" spans="1:5" s="361" customFormat="1" ht="70.95" hidden="1" customHeight="1" x14ac:dyDescent="0.3">
      <c r="A264" s="364" t="s">
        <v>797</v>
      </c>
      <c r="B264" s="373" t="s">
        <v>45</v>
      </c>
      <c r="C264" s="576"/>
      <c r="D264" s="363" t="s">
        <v>798</v>
      </c>
      <c r="E264" s="720" t="s">
        <v>799</v>
      </c>
    </row>
    <row r="265" spans="1:5" s="361" customFormat="1" ht="46.8" hidden="1" x14ac:dyDescent="0.3">
      <c r="A265" s="364" t="s">
        <v>797</v>
      </c>
      <c r="B265" s="373" t="s">
        <v>41</v>
      </c>
      <c r="C265" s="374"/>
      <c r="D265" s="695"/>
      <c r="E265" s="720" t="s">
        <v>994</v>
      </c>
    </row>
    <row r="266" spans="1:5" s="361" customFormat="1" ht="62.4" hidden="1" x14ac:dyDescent="0.3">
      <c r="A266" s="364" t="s">
        <v>797</v>
      </c>
      <c r="B266" s="373" t="s">
        <v>41</v>
      </c>
      <c r="C266" s="1019"/>
      <c r="D266" s="374" t="s">
        <v>1291</v>
      </c>
      <c r="E266" s="717" t="s">
        <v>1292</v>
      </c>
    </row>
    <row r="267" spans="1:5" s="361" customFormat="1" ht="46.95" hidden="1" customHeight="1" x14ac:dyDescent="0.3">
      <c r="A267" s="364" t="s">
        <v>797</v>
      </c>
      <c r="B267" s="373" t="s">
        <v>38</v>
      </c>
      <c r="C267" s="576"/>
      <c r="D267" s="388" t="s">
        <v>924</v>
      </c>
      <c r="E267" s="720" t="s">
        <v>925</v>
      </c>
    </row>
    <row r="268" spans="1:5" s="361" customFormat="1" ht="64.2" hidden="1" customHeight="1" x14ac:dyDescent="0.3">
      <c r="A268" s="364" t="s">
        <v>797</v>
      </c>
      <c r="B268" s="376" t="s">
        <v>34</v>
      </c>
      <c r="C268" s="374"/>
      <c r="D268" s="695" t="s">
        <v>1309</v>
      </c>
      <c r="E268" s="720" t="s">
        <v>1312</v>
      </c>
    </row>
    <row r="269" spans="1:5" s="361" customFormat="1" ht="46.8" hidden="1" x14ac:dyDescent="0.3">
      <c r="A269" s="375" t="s">
        <v>797</v>
      </c>
      <c r="B269" s="376" t="s">
        <v>34</v>
      </c>
      <c r="C269" s="374"/>
      <c r="D269" s="695" t="s">
        <v>1309</v>
      </c>
      <c r="E269" s="578" t="s">
        <v>1310</v>
      </c>
    </row>
    <row r="270" spans="1:5" s="361" customFormat="1" ht="46.8" hidden="1" x14ac:dyDescent="0.3">
      <c r="A270" s="375" t="s">
        <v>797</v>
      </c>
      <c r="B270" s="376" t="s">
        <v>34</v>
      </c>
      <c r="C270" s="374"/>
      <c r="D270" s="695" t="s">
        <v>1308</v>
      </c>
      <c r="E270" s="578" t="s">
        <v>1329</v>
      </c>
    </row>
    <row r="271" spans="1:5" s="361" customFormat="1" ht="46.8" hidden="1" x14ac:dyDescent="0.3">
      <c r="A271" s="368" t="s">
        <v>797</v>
      </c>
      <c r="B271" s="389" t="s">
        <v>34</v>
      </c>
      <c r="C271" s="716"/>
      <c r="D271" s="695" t="s">
        <v>1308</v>
      </c>
      <c r="E271" s="720" t="s">
        <v>1307</v>
      </c>
    </row>
    <row r="272" spans="1:5" s="361" customFormat="1" ht="62.4" x14ac:dyDescent="0.3">
      <c r="A272" s="368" t="s">
        <v>797</v>
      </c>
      <c r="B272" s="373" t="s">
        <v>27</v>
      </c>
      <c r="C272" s="702">
        <v>166314</v>
      </c>
      <c r="D272" s="695" t="s">
        <v>1432</v>
      </c>
      <c r="E272" s="720" t="s">
        <v>1447</v>
      </c>
    </row>
    <row r="273" spans="1:6" s="361" customFormat="1" ht="85.95" customHeight="1" thickBot="1" x14ac:dyDescent="0.35">
      <c r="A273" s="364" t="s">
        <v>797</v>
      </c>
      <c r="B273" s="373" t="s">
        <v>27</v>
      </c>
      <c r="C273" s="577">
        <v>21930</v>
      </c>
      <c r="D273" s="695" t="s">
        <v>1432</v>
      </c>
      <c r="E273" s="720" t="s">
        <v>1446</v>
      </c>
    </row>
    <row r="274" spans="1:6" s="361" customFormat="1" ht="53.4" hidden="1" customHeight="1" x14ac:dyDescent="0.3">
      <c r="A274" s="364" t="s">
        <v>800</v>
      </c>
      <c r="B274" s="376" t="s">
        <v>528</v>
      </c>
      <c r="C274" s="374"/>
      <c r="D274" s="363" t="s">
        <v>1045</v>
      </c>
      <c r="E274" s="720" t="s">
        <v>1046</v>
      </c>
    </row>
    <row r="275" spans="1:6" s="361" customFormat="1" ht="55.95" hidden="1" customHeight="1" x14ac:dyDescent="0.3">
      <c r="A275" s="364" t="s">
        <v>800</v>
      </c>
      <c r="B275" s="376" t="s">
        <v>528</v>
      </c>
      <c r="C275" s="374"/>
      <c r="D275" s="363" t="s">
        <v>1045</v>
      </c>
      <c r="E275" s="720" t="s">
        <v>1070</v>
      </c>
    </row>
    <row r="276" spans="1:6" s="361" customFormat="1" ht="78" hidden="1" x14ac:dyDescent="0.3">
      <c r="A276" s="368" t="s">
        <v>800</v>
      </c>
      <c r="B276" s="390" t="s">
        <v>9</v>
      </c>
      <c r="C276" s="391"/>
      <c r="D276" s="374" t="s">
        <v>801</v>
      </c>
      <c r="E276" s="720" t="s">
        <v>802</v>
      </c>
    </row>
    <row r="277" spans="1:6" s="356" customFormat="1" ht="78.599999999999994" hidden="1" thickBot="1" x14ac:dyDescent="0.35">
      <c r="A277" s="368" t="s">
        <v>800</v>
      </c>
      <c r="B277" s="390" t="s">
        <v>9</v>
      </c>
      <c r="C277" s="1272"/>
      <c r="D277" s="716" t="s">
        <v>801</v>
      </c>
      <c r="E277" s="1273" t="s">
        <v>803</v>
      </c>
    </row>
    <row r="278" spans="1:6" ht="16.5" customHeight="1" thickBot="1" x14ac:dyDescent="0.35">
      <c r="A278" s="1429" t="s">
        <v>804</v>
      </c>
      <c r="B278" s="1430"/>
      <c r="C278" s="392">
        <f>SUM(C8:C277)</f>
        <v>45594</v>
      </c>
      <c r="D278" s="393">
        <f>C9</f>
        <v>0</v>
      </c>
      <c r="E278" s="1278">
        <v>1409031.5699999998</v>
      </c>
      <c r="F278" s="394"/>
    </row>
    <row r="279" spans="1:6" ht="20.399999999999999" customHeight="1" x14ac:dyDescent="0.3">
      <c r="A279" s="1274" t="s">
        <v>805</v>
      </c>
      <c r="B279" s="1275"/>
      <c r="C279" s="1276"/>
      <c r="D279" s="1277">
        <f>E278-D278</f>
        <v>1409031.5699999998</v>
      </c>
      <c r="E279" s="1279" t="s">
        <v>861</v>
      </c>
    </row>
    <row r="280" spans="1:6" ht="31.2" hidden="1" x14ac:dyDescent="0.3">
      <c r="A280" s="364" t="s">
        <v>752</v>
      </c>
      <c r="B280" s="373" t="s">
        <v>440</v>
      </c>
      <c r="C280" s="674"/>
      <c r="D280" s="363" t="s">
        <v>1294</v>
      </c>
      <c r="E280" s="362" t="s">
        <v>1295</v>
      </c>
    </row>
    <row r="281" spans="1:6" ht="62.4" hidden="1" x14ac:dyDescent="0.3">
      <c r="A281" s="364" t="s">
        <v>752</v>
      </c>
      <c r="B281" s="373" t="s">
        <v>443</v>
      </c>
      <c r="C281" s="674"/>
      <c r="D281" s="363" t="s">
        <v>1337</v>
      </c>
      <c r="E281" s="720" t="s">
        <v>1340</v>
      </c>
    </row>
    <row r="282" spans="1:6" ht="62.4" hidden="1" x14ac:dyDescent="0.3">
      <c r="A282" s="364" t="s">
        <v>752</v>
      </c>
      <c r="B282" s="373" t="s">
        <v>443</v>
      </c>
      <c r="C282" s="674"/>
      <c r="D282" s="363" t="s">
        <v>1301</v>
      </c>
      <c r="E282" s="720" t="s">
        <v>1330</v>
      </c>
    </row>
    <row r="283" spans="1:6" ht="46.8" hidden="1" x14ac:dyDescent="0.3">
      <c r="A283" s="364" t="s">
        <v>752</v>
      </c>
      <c r="B283" s="373" t="s">
        <v>927</v>
      </c>
      <c r="C283" s="314"/>
      <c r="D283" s="363" t="s">
        <v>806</v>
      </c>
      <c r="E283" s="720" t="s">
        <v>964</v>
      </c>
    </row>
    <row r="284" spans="1:6" ht="62.4" hidden="1" x14ac:dyDescent="0.3">
      <c r="A284" s="364" t="s">
        <v>752</v>
      </c>
      <c r="B284" s="373" t="s">
        <v>225</v>
      </c>
      <c r="C284" s="314"/>
      <c r="D284" s="363" t="s">
        <v>806</v>
      </c>
      <c r="E284" s="691" t="s">
        <v>965</v>
      </c>
    </row>
    <row r="285" spans="1:6" ht="78" hidden="1" x14ac:dyDescent="0.3">
      <c r="A285" s="364" t="s">
        <v>752</v>
      </c>
      <c r="B285" s="376" t="s">
        <v>463</v>
      </c>
      <c r="C285" s="374"/>
      <c r="D285" s="374" t="s">
        <v>1296</v>
      </c>
      <c r="E285" s="720" t="s">
        <v>1269</v>
      </c>
    </row>
    <row r="286" spans="1:6" ht="78" hidden="1" x14ac:dyDescent="0.3">
      <c r="A286" s="364" t="s">
        <v>752</v>
      </c>
      <c r="B286" s="376" t="s">
        <v>463</v>
      </c>
      <c r="C286" s="374"/>
      <c r="D286" s="374" t="s">
        <v>1296</v>
      </c>
      <c r="E286" s="720" t="s">
        <v>1270</v>
      </c>
    </row>
    <row r="287" spans="1:6" ht="81" hidden="1" x14ac:dyDescent="0.3">
      <c r="A287" s="364" t="s">
        <v>752</v>
      </c>
      <c r="B287" s="373" t="s">
        <v>687</v>
      </c>
      <c r="C287" s="576"/>
      <c r="D287" s="374" t="s">
        <v>1396</v>
      </c>
      <c r="E287" s="720" t="s">
        <v>1393</v>
      </c>
    </row>
    <row r="288" spans="1:6" ht="62.4" hidden="1" x14ac:dyDescent="0.3">
      <c r="A288" s="364" t="s">
        <v>752</v>
      </c>
      <c r="B288" s="373" t="s">
        <v>687</v>
      </c>
      <c r="C288" s="674"/>
      <c r="D288" s="363" t="s">
        <v>1395</v>
      </c>
      <c r="E288" s="720" t="s">
        <v>1404</v>
      </c>
    </row>
    <row r="289" spans="1:5" ht="49.8" hidden="1" x14ac:dyDescent="0.3">
      <c r="A289" s="364" t="s">
        <v>752</v>
      </c>
      <c r="B289" s="373" t="s">
        <v>466</v>
      </c>
      <c r="C289" s="736"/>
      <c r="D289" s="577" t="s">
        <v>1377</v>
      </c>
      <c r="E289" s="720" t="s">
        <v>1417</v>
      </c>
    </row>
    <row r="290" spans="1:5" ht="28.2" hidden="1" customHeight="1" x14ac:dyDescent="0.3">
      <c r="A290" s="364" t="s">
        <v>752</v>
      </c>
      <c r="B290" s="373" t="s">
        <v>763</v>
      </c>
      <c r="C290" s="674"/>
      <c r="D290" s="374" t="s">
        <v>801</v>
      </c>
      <c r="E290" s="720" t="s">
        <v>807</v>
      </c>
    </row>
    <row r="291" spans="1:5" ht="62.4" hidden="1" x14ac:dyDescent="0.3">
      <c r="A291" s="364" t="s">
        <v>752</v>
      </c>
      <c r="B291" s="373" t="s">
        <v>688</v>
      </c>
      <c r="C291" s="674"/>
      <c r="D291" s="363" t="s">
        <v>808</v>
      </c>
      <c r="E291" s="720" t="s">
        <v>966</v>
      </c>
    </row>
    <row r="292" spans="1:5" ht="62.4" hidden="1" x14ac:dyDescent="0.3">
      <c r="A292" s="364" t="s">
        <v>752</v>
      </c>
      <c r="B292" s="373" t="s">
        <v>571</v>
      </c>
      <c r="C292" s="674"/>
      <c r="D292" s="374" t="s">
        <v>809</v>
      </c>
      <c r="E292" s="396" t="s">
        <v>810</v>
      </c>
    </row>
    <row r="293" spans="1:5" ht="81" hidden="1" customHeight="1" x14ac:dyDescent="0.3">
      <c r="A293" s="364" t="s">
        <v>752</v>
      </c>
      <c r="B293" s="373" t="s">
        <v>571</v>
      </c>
      <c r="C293" s="674"/>
      <c r="D293" s="374" t="s">
        <v>809</v>
      </c>
      <c r="E293" s="396" t="s">
        <v>811</v>
      </c>
    </row>
    <row r="294" spans="1:5" ht="67.2" hidden="1" customHeight="1" x14ac:dyDescent="0.3">
      <c r="A294" s="364" t="s">
        <v>752</v>
      </c>
      <c r="B294" s="373" t="s">
        <v>571</v>
      </c>
      <c r="C294" s="674"/>
      <c r="D294" s="374" t="s">
        <v>809</v>
      </c>
      <c r="E294" s="396" t="s">
        <v>812</v>
      </c>
    </row>
    <row r="295" spans="1:5" ht="52.95" hidden="1" customHeight="1" x14ac:dyDescent="0.3">
      <c r="A295" s="364" t="s">
        <v>752</v>
      </c>
      <c r="B295" s="373" t="s">
        <v>571</v>
      </c>
      <c r="C295" s="674"/>
      <c r="D295" s="374" t="s">
        <v>809</v>
      </c>
      <c r="E295" s="396" t="s">
        <v>813</v>
      </c>
    </row>
    <row r="296" spans="1:5" ht="78" hidden="1" x14ac:dyDescent="0.3">
      <c r="A296" s="364" t="s">
        <v>752</v>
      </c>
      <c r="B296" s="373" t="s">
        <v>691</v>
      </c>
      <c r="C296" s="674"/>
      <c r="D296" s="363" t="s">
        <v>757</v>
      </c>
      <c r="E296" s="720" t="s">
        <v>814</v>
      </c>
    </row>
    <row r="297" spans="1:5" ht="81" hidden="1" x14ac:dyDescent="0.3">
      <c r="A297" s="364" t="s">
        <v>752</v>
      </c>
      <c r="B297" s="376" t="s">
        <v>691</v>
      </c>
      <c r="C297" s="674"/>
      <c r="D297" s="252" t="s">
        <v>1220</v>
      </c>
      <c r="E297" s="720" t="s">
        <v>1244</v>
      </c>
    </row>
    <row r="298" spans="1:5" ht="28.2" hidden="1" customHeight="1" x14ac:dyDescent="0.3">
      <c r="A298" s="364" t="s">
        <v>752</v>
      </c>
      <c r="B298" s="373" t="s">
        <v>198</v>
      </c>
      <c r="C298" s="674"/>
      <c r="D298" s="374" t="s">
        <v>815</v>
      </c>
      <c r="E298" s="396" t="s">
        <v>816</v>
      </c>
    </row>
    <row r="299" spans="1:5" ht="109.2" hidden="1" customHeight="1" x14ac:dyDescent="0.3">
      <c r="A299" s="364" t="s">
        <v>752</v>
      </c>
      <c r="B299" s="373" t="s">
        <v>691</v>
      </c>
      <c r="C299" s="674"/>
      <c r="D299" s="363" t="s">
        <v>1189</v>
      </c>
      <c r="E299" s="720" t="s">
        <v>1191</v>
      </c>
    </row>
    <row r="300" spans="1:5" ht="81" hidden="1" x14ac:dyDescent="0.3">
      <c r="A300" s="364" t="s">
        <v>752</v>
      </c>
      <c r="B300" s="373" t="s">
        <v>692</v>
      </c>
      <c r="C300" s="674"/>
      <c r="D300" s="363" t="s">
        <v>1189</v>
      </c>
      <c r="E300" s="720" t="s">
        <v>1190</v>
      </c>
    </row>
    <row r="301" spans="1:5" ht="83.4" hidden="1" customHeight="1" x14ac:dyDescent="0.3">
      <c r="A301" s="364" t="s">
        <v>752</v>
      </c>
      <c r="B301" s="376" t="s">
        <v>476</v>
      </c>
      <c r="C301" s="674"/>
      <c r="D301" s="374" t="s">
        <v>1141</v>
      </c>
      <c r="E301" s="720" t="s">
        <v>1144</v>
      </c>
    </row>
    <row r="302" spans="1:5" ht="93.6" hidden="1" x14ac:dyDescent="0.3">
      <c r="A302" s="364" t="s">
        <v>752</v>
      </c>
      <c r="B302" s="376" t="s">
        <v>700</v>
      </c>
      <c r="C302" s="674"/>
      <c r="D302" s="363" t="s">
        <v>1313</v>
      </c>
      <c r="E302" s="720" t="s">
        <v>1304</v>
      </c>
    </row>
    <row r="303" spans="1:5" ht="124.8" hidden="1" x14ac:dyDescent="0.3">
      <c r="A303" s="364" t="s">
        <v>752</v>
      </c>
      <c r="B303" s="373" t="s">
        <v>486</v>
      </c>
      <c r="C303" s="576"/>
      <c r="D303" s="374" t="s">
        <v>1160</v>
      </c>
      <c r="E303" s="578" t="s">
        <v>1170</v>
      </c>
    </row>
    <row r="304" spans="1:5" ht="78" hidden="1" x14ac:dyDescent="0.3">
      <c r="A304" s="364" t="s">
        <v>752</v>
      </c>
      <c r="B304" s="373" t="s">
        <v>817</v>
      </c>
      <c r="C304" s="374"/>
      <c r="D304" s="363" t="s">
        <v>818</v>
      </c>
      <c r="E304" s="720" t="s">
        <v>819</v>
      </c>
    </row>
    <row r="305" spans="1:5" ht="93.6" hidden="1" x14ac:dyDescent="0.3">
      <c r="A305" s="364" t="s">
        <v>752</v>
      </c>
      <c r="B305" s="373" t="s">
        <v>817</v>
      </c>
      <c r="C305" s="374"/>
      <c r="D305" s="363" t="s">
        <v>757</v>
      </c>
      <c r="E305" s="720" t="s">
        <v>820</v>
      </c>
    </row>
    <row r="306" spans="1:5" ht="96.6" hidden="1" x14ac:dyDescent="0.3">
      <c r="A306" s="364" t="s">
        <v>752</v>
      </c>
      <c r="B306" s="373" t="s">
        <v>480</v>
      </c>
      <c r="C306" s="736"/>
      <c r="D306" s="363" t="s">
        <v>1195</v>
      </c>
      <c r="E306" s="396" t="s">
        <v>1199</v>
      </c>
    </row>
    <row r="307" spans="1:5" ht="46.8" hidden="1" x14ac:dyDescent="0.3">
      <c r="A307" s="364" t="s">
        <v>752</v>
      </c>
      <c r="B307" s="373" t="s">
        <v>480</v>
      </c>
      <c r="C307" s="374"/>
      <c r="D307" s="374" t="s">
        <v>766</v>
      </c>
      <c r="E307" s="720" t="s">
        <v>821</v>
      </c>
    </row>
    <row r="308" spans="1:5" ht="109.2" hidden="1" x14ac:dyDescent="0.3">
      <c r="A308" s="364" t="s">
        <v>752</v>
      </c>
      <c r="B308" s="373" t="s">
        <v>480</v>
      </c>
      <c r="C308" s="374"/>
      <c r="D308" s="374" t="s">
        <v>822</v>
      </c>
      <c r="E308" s="720" t="s">
        <v>823</v>
      </c>
    </row>
    <row r="309" spans="1:5" ht="112.2" hidden="1" x14ac:dyDescent="0.3">
      <c r="A309" s="375" t="s">
        <v>752</v>
      </c>
      <c r="B309" s="373" t="s">
        <v>700</v>
      </c>
      <c r="C309" s="576"/>
      <c r="D309" s="374" t="s">
        <v>967</v>
      </c>
      <c r="E309" s="720" t="s">
        <v>969</v>
      </c>
    </row>
    <row r="310" spans="1:5" ht="39" hidden="1" customHeight="1" x14ac:dyDescent="0.3">
      <c r="A310" s="375" t="s">
        <v>752</v>
      </c>
      <c r="B310" s="373" t="s">
        <v>486</v>
      </c>
      <c r="C310" s="576"/>
      <c r="D310" s="374" t="s">
        <v>1021</v>
      </c>
      <c r="E310" s="720" t="s">
        <v>1025</v>
      </c>
    </row>
    <row r="311" spans="1:5" ht="93.6" hidden="1" x14ac:dyDescent="0.3">
      <c r="A311" s="364" t="s">
        <v>752</v>
      </c>
      <c r="B311" s="376" t="s">
        <v>709</v>
      </c>
      <c r="C311" s="576"/>
      <c r="D311" s="374" t="s">
        <v>1258</v>
      </c>
      <c r="E311" s="362" t="s">
        <v>1287</v>
      </c>
    </row>
    <row r="312" spans="1:5" ht="112.2" hidden="1" x14ac:dyDescent="0.3">
      <c r="A312" s="364" t="s">
        <v>752</v>
      </c>
      <c r="B312" s="373" t="s">
        <v>709</v>
      </c>
      <c r="C312" s="576"/>
      <c r="D312" s="374" t="s">
        <v>1218</v>
      </c>
      <c r="E312" s="720" t="s">
        <v>1245</v>
      </c>
    </row>
    <row r="313" spans="1:5" ht="109.8" hidden="1" customHeight="1" x14ac:dyDescent="0.3">
      <c r="A313" s="364" t="s">
        <v>752</v>
      </c>
      <c r="B313" s="373" t="s">
        <v>709</v>
      </c>
      <c r="C313" s="576"/>
      <c r="D313" s="374" t="s">
        <v>1219</v>
      </c>
      <c r="E313" s="720" t="s">
        <v>1246</v>
      </c>
    </row>
    <row r="314" spans="1:5" ht="124.95" hidden="1" customHeight="1" x14ac:dyDescent="0.3">
      <c r="A314" s="364" t="s">
        <v>752</v>
      </c>
      <c r="B314" s="373" t="s">
        <v>709</v>
      </c>
      <c r="C314" s="576"/>
      <c r="D314" s="374" t="s">
        <v>1252</v>
      </c>
      <c r="E314" s="720" t="s">
        <v>1253</v>
      </c>
    </row>
    <row r="315" spans="1:5" ht="124.95" hidden="1" customHeight="1" x14ac:dyDescent="0.3">
      <c r="A315" s="364" t="s">
        <v>752</v>
      </c>
      <c r="B315" s="373" t="s">
        <v>709</v>
      </c>
      <c r="C315" s="374"/>
      <c r="D315" s="374" t="s">
        <v>824</v>
      </c>
      <c r="E315" s="720" t="s">
        <v>825</v>
      </c>
    </row>
    <row r="316" spans="1:5" ht="75" hidden="1" customHeight="1" x14ac:dyDescent="0.3">
      <c r="A316" s="384" t="s">
        <v>783</v>
      </c>
      <c r="B316" s="373" t="s">
        <v>162</v>
      </c>
      <c r="C316" s="696"/>
      <c r="D316" s="374" t="s">
        <v>940</v>
      </c>
      <c r="E316" s="720" t="s">
        <v>950</v>
      </c>
    </row>
    <row r="317" spans="1:5" ht="56.25" hidden="1" customHeight="1" x14ac:dyDescent="0.3">
      <c r="A317" s="384" t="s">
        <v>783</v>
      </c>
      <c r="B317" s="373" t="s">
        <v>158</v>
      </c>
      <c r="C317" s="252"/>
      <c r="D317" s="363" t="s">
        <v>1391</v>
      </c>
      <c r="E317" s="362" t="s">
        <v>1388</v>
      </c>
    </row>
    <row r="318" spans="1:5" ht="69.599999999999994" hidden="1" customHeight="1" x14ac:dyDescent="0.3">
      <c r="A318" s="384" t="s">
        <v>783</v>
      </c>
      <c r="B318" s="373" t="s">
        <v>782</v>
      </c>
      <c r="C318" s="374"/>
      <c r="D318" s="374" t="s">
        <v>968</v>
      </c>
      <c r="E318" s="720" t="s">
        <v>972</v>
      </c>
    </row>
    <row r="319" spans="1:5" ht="50.4" hidden="1" customHeight="1" x14ac:dyDescent="0.3">
      <c r="A319" s="384" t="s">
        <v>783</v>
      </c>
      <c r="B319" s="373" t="s">
        <v>944</v>
      </c>
      <c r="C319" s="374"/>
      <c r="D319" s="374" t="s">
        <v>1004</v>
      </c>
      <c r="E319" s="720" t="s">
        <v>1007</v>
      </c>
    </row>
    <row r="320" spans="1:5" ht="72" customHeight="1" x14ac:dyDescent="0.3">
      <c r="A320" s="384" t="s">
        <v>783</v>
      </c>
      <c r="B320" s="373" t="s">
        <v>785</v>
      </c>
      <c r="C320" s="374">
        <v>36000</v>
      </c>
      <c r="D320" s="374" t="s">
        <v>1423</v>
      </c>
      <c r="E320" s="720" t="s">
        <v>1424</v>
      </c>
    </row>
    <row r="321" spans="1:5" ht="72" customHeight="1" thickBot="1" x14ac:dyDescent="0.35">
      <c r="A321" s="384"/>
      <c r="B321" s="373" t="s">
        <v>1451</v>
      </c>
      <c r="C321" s="374">
        <v>18400</v>
      </c>
      <c r="D321" s="374" t="s">
        <v>1450</v>
      </c>
      <c r="E321" s="720" t="s">
        <v>1452</v>
      </c>
    </row>
    <row r="322" spans="1:5" ht="121.95" hidden="1" customHeight="1" x14ac:dyDescent="0.3">
      <c r="A322" s="375" t="s">
        <v>780</v>
      </c>
      <c r="B322" s="376" t="s">
        <v>134</v>
      </c>
      <c r="C322" s="374"/>
      <c r="D322" s="374" t="s">
        <v>1008</v>
      </c>
      <c r="E322" s="720" t="s">
        <v>1012</v>
      </c>
    </row>
    <row r="323" spans="1:5" ht="128.25" hidden="1" customHeight="1" x14ac:dyDescent="0.3">
      <c r="A323" s="384" t="s">
        <v>783</v>
      </c>
      <c r="B323" s="376" t="s">
        <v>1119</v>
      </c>
      <c r="C323" s="713"/>
      <c r="D323" s="363" t="s">
        <v>1145</v>
      </c>
      <c r="E323" s="720" t="s">
        <v>1153</v>
      </c>
    </row>
    <row r="324" spans="1:5" s="397" customFormat="1" ht="78" hidden="1" x14ac:dyDescent="0.3">
      <c r="A324" s="384" t="s">
        <v>783</v>
      </c>
      <c r="B324" s="373" t="s">
        <v>511</v>
      </c>
      <c r="C324" s="713"/>
      <c r="D324" s="374"/>
      <c r="E324" s="720" t="s">
        <v>1011</v>
      </c>
    </row>
    <row r="325" spans="1:5" s="397" customFormat="1" ht="65.400000000000006" hidden="1" customHeight="1" x14ac:dyDescent="0.3">
      <c r="A325" s="384" t="s">
        <v>783</v>
      </c>
      <c r="B325" s="373" t="s">
        <v>1120</v>
      </c>
      <c r="C325" s="713"/>
      <c r="D325" s="363" t="s">
        <v>1145</v>
      </c>
      <c r="E325" s="720" t="s">
        <v>1108</v>
      </c>
    </row>
    <row r="326" spans="1:5" s="397" customFormat="1" ht="109.2" hidden="1" x14ac:dyDescent="0.3">
      <c r="A326" s="384" t="s">
        <v>783</v>
      </c>
      <c r="B326" s="366" t="s">
        <v>858</v>
      </c>
      <c r="C326" s="1282"/>
      <c r="D326" s="363" t="s">
        <v>1390</v>
      </c>
      <c r="E326" s="362" t="s">
        <v>1382</v>
      </c>
    </row>
    <row r="327" spans="1:5" ht="78" hidden="1" x14ac:dyDescent="0.3">
      <c r="A327" s="384" t="s">
        <v>783</v>
      </c>
      <c r="B327" s="366" t="s">
        <v>855</v>
      </c>
      <c r="C327" s="252"/>
      <c r="D327" s="363" t="s">
        <v>1390</v>
      </c>
      <c r="E327" s="362" t="s">
        <v>1378</v>
      </c>
    </row>
    <row r="328" spans="1:5" ht="87" hidden="1" customHeight="1" x14ac:dyDescent="0.3">
      <c r="A328" s="384" t="s">
        <v>783</v>
      </c>
      <c r="B328" s="366" t="s">
        <v>855</v>
      </c>
      <c r="C328" s="252"/>
      <c r="D328" s="363" t="s">
        <v>1390</v>
      </c>
      <c r="E328" s="362" t="s">
        <v>1379</v>
      </c>
    </row>
    <row r="329" spans="1:5" ht="87" hidden="1" customHeight="1" x14ac:dyDescent="0.3">
      <c r="A329" s="384" t="s">
        <v>783</v>
      </c>
      <c r="B329" s="366" t="s">
        <v>1384</v>
      </c>
      <c r="C329" s="252"/>
      <c r="D329" s="363" t="s">
        <v>1391</v>
      </c>
      <c r="E329" s="720" t="s">
        <v>1387</v>
      </c>
    </row>
    <row r="330" spans="1:5" ht="46.8" hidden="1" x14ac:dyDescent="0.3">
      <c r="A330" s="384" t="s">
        <v>783</v>
      </c>
      <c r="B330" s="366" t="s">
        <v>1384</v>
      </c>
      <c r="C330" s="1182"/>
      <c r="D330" s="363" t="s">
        <v>1391</v>
      </c>
      <c r="E330" s="720" t="s">
        <v>1389</v>
      </c>
    </row>
    <row r="331" spans="1:5" ht="85.2" hidden="1" customHeight="1" x14ac:dyDescent="0.3">
      <c r="A331" s="384" t="s">
        <v>783</v>
      </c>
      <c r="B331" s="373"/>
      <c r="C331" s="374"/>
      <c r="D331" s="374" t="s">
        <v>980</v>
      </c>
      <c r="E331" s="720" t="s">
        <v>981</v>
      </c>
    </row>
    <row r="332" spans="1:5" ht="78" hidden="1" x14ac:dyDescent="0.3">
      <c r="A332" s="364" t="s">
        <v>783</v>
      </c>
      <c r="B332" s="378" t="s">
        <v>999</v>
      </c>
      <c r="C332" s="1020"/>
      <c r="D332" s="363" t="s">
        <v>1145</v>
      </c>
      <c r="E332" s="720" t="s">
        <v>1386</v>
      </c>
    </row>
    <row r="333" spans="1:5" ht="62.4" hidden="1" x14ac:dyDescent="0.3">
      <c r="A333" s="364" t="s">
        <v>783</v>
      </c>
      <c r="B333" s="373" t="s">
        <v>826</v>
      </c>
      <c r="C333" s="576"/>
      <c r="D333" s="363" t="s">
        <v>918</v>
      </c>
      <c r="E333" s="720" t="s">
        <v>1385</v>
      </c>
    </row>
    <row r="334" spans="1:5" ht="78" hidden="1" x14ac:dyDescent="0.3">
      <c r="A334" s="364" t="s">
        <v>783</v>
      </c>
      <c r="B334" s="373" t="s">
        <v>826</v>
      </c>
      <c r="C334" s="374"/>
      <c r="D334" s="374" t="s">
        <v>828</v>
      </c>
      <c r="E334" s="720" t="s">
        <v>829</v>
      </c>
    </row>
    <row r="335" spans="1:5" ht="90" hidden="1" customHeight="1" x14ac:dyDescent="0.3">
      <c r="A335" s="364" t="s">
        <v>783</v>
      </c>
      <c r="B335" s="373" t="s">
        <v>826</v>
      </c>
      <c r="C335" s="374"/>
      <c r="D335" s="374" t="s">
        <v>980</v>
      </c>
      <c r="E335" s="720" t="s">
        <v>982</v>
      </c>
    </row>
    <row r="336" spans="1:5" ht="93.6" hidden="1" x14ac:dyDescent="0.3">
      <c r="A336" s="364" t="s">
        <v>783</v>
      </c>
      <c r="B336" s="373" t="s">
        <v>830</v>
      </c>
      <c r="C336" s="374"/>
      <c r="D336" s="374" t="s">
        <v>831</v>
      </c>
      <c r="E336" s="720" t="s">
        <v>832</v>
      </c>
    </row>
    <row r="337" spans="1:5" ht="140.4" hidden="1" x14ac:dyDescent="0.3">
      <c r="A337" s="364" t="s">
        <v>783</v>
      </c>
      <c r="B337" s="373" t="s">
        <v>830</v>
      </c>
      <c r="C337" s="374"/>
      <c r="D337" s="374" t="s">
        <v>828</v>
      </c>
      <c r="E337" s="720" t="s">
        <v>833</v>
      </c>
    </row>
    <row r="338" spans="1:5" ht="62.4" hidden="1" x14ac:dyDescent="0.3">
      <c r="A338" s="364" t="s">
        <v>783</v>
      </c>
      <c r="B338" s="373" t="s">
        <v>827</v>
      </c>
      <c r="C338" s="374"/>
      <c r="D338" s="363" t="s">
        <v>834</v>
      </c>
      <c r="E338" s="720" t="s">
        <v>835</v>
      </c>
    </row>
    <row r="339" spans="1:5" ht="143.4" hidden="1" x14ac:dyDescent="0.3">
      <c r="A339" s="364" t="s">
        <v>783</v>
      </c>
      <c r="B339" s="376" t="s">
        <v>158</v>
      </c>
      <c r="C339" s="374"/>
      <c r="D339" s="374" t="s">
        <v>836</v>
      </c>
      <c r="E339" s="367" t="s">
        <v>837</v>
      </c>
    </row>
    <row r="340" spans="1:5" ht="52.8" hidden="1" x14ac:dyDescent="0.3">
      <c r="A340" s="384" t="s">
        <v>790</v>
      </c>
      <c r="B340" s="376" t="s">
        <v>515</v>
      </c>
      <c r="C340" s="1182"/>
      <c r="D340" s="252" t="s">
        <v>1225</v>
      </c>
      <c r="E340" s="720" t="s">
        <v>1255</v>
      </c>
    </row>
    <row r="341" spans="1:5" ht="52.8" hidden="1" x14ac:dyDescent="0.3">
      <c r="A341" s="384" t="s">
        <v>790</v>
      </c>
      <c r="B341" s="373" t="s">
        <v>115</v>
      </c>
      <c r="C341" s="374"/>
      <c r="D341" s="363" t="s">
        <v>986</v>
      </c>
      <c r="E341" s="720" t="s">
        <v>987</v>
      </c>
    </row>
    <row r="342" spans="1:5" ht="64.95" hidden="1" customHeight="1" x14ac:dyDescent="0.3">
      <c r="A342" s="384" t="s">
        <v>790</v>
      </c>
      <c r="B342" s="373" t="s">
        <v>115</v>
      </c>
      <c r="C342" s="374"/>
      <c r="D342" s="363" t="s">
        <v>986</v>
      </c>
      <c r="E342" s="720" t="s">
        <v>989</v>
      </c>
    </row>
    <row r="343" spans="1:5" ht="64.95" hidden="1" customHeight="1" x14ac:dyDescent="0.3">
      <c r="A343" s="384" t="s">
        <v>790</v>
      </c>
      <c r="B343" s="376" t="s">
        <v>110</v>
      </c>
      <c r="C343" s="1188"/>
      <c r="D343" s="374" t="s">
        <v>1300</v>
      </c>
      <c r="E343" s="362" t="s">
        <v>1271</v>
      </c>
    </row>
    <row r="344" spans="1:5" ht="63.6" hidden="1" customHeight="1" x14ac:dyDescent="0.3">
      <c r="A344" s="384" t="s">
        <v>790</v>
      </c>
      <c r="B344" s="373" t="s">
        <v>937</v>
      </c>
      <c r="C344" s="682"/>
      <c r="D344" s="363" t="s">
        <v>1064</v>
      </c>
      <c r="E344" s="720" t="s">
        <v>1065</v>
      </c>
    </row>
    <row r="345" spans="1:5" ht="67.95" hidden="1" customHeight="1" x14ac:dyDescent="0.3">
      <c r="A345" s="384" t="s">
        <v>790</v>
      </c>
      <c r="B345" s="376" t="s">
        <v>92</v>
      </c>
      <c r="C345" s="252"/>
      <c r="D345" s="681" t="s">
        <v>1068</v>
      </c>
      <c r="E345" s="362" t="s">
        <v>1073</v>
      </c>
    </row>
    <row r="346" spans="1:5" ht="130.80000000000001" hidden="1" customHeight="1" x14ac:dyDescent="0.3">
      <c r="A346" s="384" t="s">
        <v>790</v>
      </c>
      <c r="B346" s="373" t="s">
        <v>726</v>
      </c>
      <c r="C346" s="1018"/>
      <c r="D346" s="374" t="s">
        <v>1320</v>
      </c>
      <c r="E346" s="720" t="s">
        <v>1322</v>
      </c>
    </row>
    <row r="347" spans="1:5" ht="93.6" hidden="1" x14ac:dyDescent="0.3">
      <c r="A347" s="384" t="s">
        <v>790</v>
      </c>
      <c r="B347" s="373" t="s">
        <v>726</v>
      </c>
      <c r="C347" s="385"/>
      <c r="D347" s="363" t="s">
        <v>1042</v>
      </c>
      <c r="E347" s="362" t="s">
        <v>1043</v>
      </c>
    </row>
    <row r="348" spans="1:5" ht="114" hidden="1" customHeight="1" x14ac:dyDescent="0.3">
      <c r="A348" s="384" t="s">
        <v>790</v>
      </c>
      <c r="B348" s="373" t="s">
        <v>726</v>
      </c>
      <c r="C348" s="1188"/>
      <c r="D348" s="374" t="s">
        <v>1230</v>
      </c>
      <c r="E348" s="362" t="s">
        <v>1227</v>
      </c>
    </row>
    <row r="349" spans="1:5" ht="31.2" hidden="1" x14ac:dyDescent="0.3">
      <c r="A349" s="368" t="s">
        <v>797</v>
      </c>
      <c r="B349" s="740" t="s">
        <v>41</v>
      </c>
      <c r="C349" s="741"/>
      <c r="D349" s="388" t="s">
        <v>1019</v>
      </c>
      <c r="E349" s="362" t="s">
        <v>1077</v>
      </c>
    </row>
    <row r="350" spans="1:5" ht="31.2" hidden="1" x14ac:dyDescent="0.3">
      <c r="A350" s="368" t="s">
        <v>797</v>
      </c>
      <c r="B350" s="740" t="s">
        <v>34</v>
      </c>
      <c r="C350" s="741"/>
      <c r="D350" s="388" t="s">
        <v>1019</v>
      </c>
      <c r="E350" s="362" t="s">
        <v>1074</v>
      </c>
    </row>
    <row r="351" spans="1:5" ht="63" hidden="1" thickBot="1" x14ac:dyDescent="0.35">
      <c r="A351" s="364" t="s">
        <v>797</v>
      </c>
      <c r="B351" s="398" t="s">
        <v>730</v>
      </c>
      <c r="C351" s="399"/>
      <c r="D351" s="400" t="s">
        <v>838</v>
      </c>
      <c r="E351" s="720" t="s">
        <v>839</v>
      </c>
    </row>
    <row r="352" spans="1:5" ht="105.6" hidden="1" customHeight="1" x14ac:dyDescent="0.3">
      <c r="A352" s="368" t="s">
        <v>800</v>
      </c>
      <c r="B352" s="395" t="s">
        <v>733</v>
      </c>
      <c r="C352" s="391"/>
      <c r="D352" s="314" t="s">
        <v>840</v>
      </c>
      <c r="E352" s="367" t="s">
        <v>841</v>
      </c>
    </row>
    <row r="353" spans="1:5" ht="99" hidden="1" customHeight="1" x14ac:dyDescent="0.3">
      <c r="A353" s="368" t="s">
        <v>800</v>
      </c>
      <c r="B353" s="395" t="s">
        <v>733</v>
      </c>
      <c r="C353" s="391"/>
      <c r="D353" s="314" t="s">
        <v>842</v>
      </c>
      <c r="E353" s="367" t="s">
        <v>843</v>
      </c>
    </row>
    <row r="354" spans="1:5" ht="63" hidden="1" thickBot="1" x14ac:dyDescent="0.35">
      <c r="A354" s="368" t="s">
        <v>800</v>
      </c>
      <c r="B354" s="395" t="s">
        <v>14</v>
      </c>
      <c r="C354" s="391"/>
      <c r="D354" s="314" t="s">
        <v>840</v>
      </c>
      <c r="E354" s="367" t="s">
        <v>844</v>
      </c>
    </row>
    <row r="355" spans="1:5" ht="28.2" customHeight="1" thickBot="1" x14ac:dyDescent="0.35">
      <c r="A355" s="1431" t="s">
        <v>804</v>
      </c>
      <c r="B355" s="1432"/>
      <c r="C355" s="392">
        <f>SUM(C280:C354)</f>
        <v>54400</v>
      </c>
      <c r="D355" s="1211">
        <f>C252</f>
        <v>99994</v>
      </c>
      <c r="E355" s="401">
        <v>394384.96000000037</v>
      </c>
    </row>
    <row r="356" spans="1:5" ht="28.2" customHeight="1" thickBot="1" x14ac:dyDescent="0.35">
      <c r="A356" s="1422" t="s">
        <v>845</v>
      </c>
      <c r="B356" s="1423"/>
      <c r="C356" s="402">
        <f>C278+C355</f>
        <v>99994</v>
      </c>
      <c r="D356" s="1212">
        <f>D355-'Зм1.1'!C117</f>
        <v>0</v>
      </c>
      <c r="E356" s="401">
        <f>E355-C287-C42</f>
        <v>394384.96000000037</v>
      </c>
    </row>
    <row r="357" spans="1:5" ht="15.6" hidden="1" x14ac:dyDescent="0.3">
      <c r="A357" s="403"/>
      <c r="B357" s="404"/>
      <c r="C357" s="405">
        <f>C356-'[1]Дод 1'!C116</f>
        <v>6960613</v>
      </c>
      <c r="D357" s="406"/>
      <c r="E357" s="406"/>
    </row>
    <row r="358" spans="1:5" ht="15.6" hidden="1" x14ac:dyDescent="0.3">
      <c r="A358" s="403"/>
      <c r="B358" s="404"/>
      <c r="C358" s="405"/>
      <c r="D358" s="406">
        <f>C356-'Зм1.1'!C117</f>
        <v>0</v>
      </c>
      <c r="E358" s="579">
        <f>E355-E356</f>
        <v>0</v>
      </c>
    </row>
    <row r="359" spans="1:5" ht="15.6" hidden="1" x14ac:dyDescent="0.3">
      <c r="A359" s="403"/>
      <c r="B359" s="404"/>
      <c r="C359" s="406"/>
      <c r="D359" s="406">
        <f>C355-'Зм3.1'!K210</f>
        <v>0</v>
      </c>
      <c r="E359" s="579"/>
    </row>
    <row r="360" spans="1:5" ht="15.6" hidden="1" x14ac:dyDescent="0.3">
      <c r="A360" s="1021"/>
      <c r="B360" s="404"/>
      <c r="C360" s="406">
        <f>C356-'Зм1.1'!C117</f>
        <v>0</v>
      </c>
      <c r="D360" s="1022">
        <f>C356-C206-C252</f>
        <v>0</v>
      </c>
      <c r="E360" s="1127">
        <f>E355-E356</f>
        <v>0</v>
      </c>
    </row>
    <row r="361" spans="1:5" ht="15.6" x14ac:dyDescent="0.3">
      <c r="A361" s="403"/>
      <c r="B361" s="404"/>
      <c r="C361" s="406"/>
      <c r="D361" s="406"/>
      <c r="E361" s="579"/>
    </row>
    <row r="362" spans="1:5" ht="15.6" x14ac:dyDescent="0.3">
      <c r="A362" s="403"/>
      <c r="B362" s="404"/>
      <c r="C362" s="406"/>
      <c r="D362" s="406"/>
      <c r="E362" s="579"/>
    </row>
    <row r="363" spans="1:5" ht="15.6" x14ac:dyDescent="0.3">
      <c r="A363" s="403"/>
      <c r="B363" s="404"/>
      <c r="C363" s="406"/>
      <c r="D363" s="406"/>
      <c r="E363" s="579"/>
    </row>
    <row r="364" spans="1:5" ht="15.6" x14ac:dyDescent="0.3">
      <c r="A364" s="403"/>
      <c r="B364" s="404"/>
      <c r="C364" s="406"/>
      <c r="D364" s="406"/>
      <c r="E364" s="579"/>
    </row>
    <row r="365" spans="1:5" ht="15.6" x14ac:dyDescent="0.3">
      <c r="A365" s="403"/>
      <c r="B365" s="404"/>
      <c r="C365" s="406"/>
      <c r="D365" s="406"/>
      <c r="E365" s="579"/>
    </row>
    <row r="366" spans="1:5" ht="15.6" x14ac:dyDescent="0.3">
      <c r="A366" s="1424" t="s">
        <v>846</v>
      </c>
      <c r="B366" s="1424"/>
      <c r="C366" s="1424"/>
      <c r="D366" s="1424"/>
      <c r="E366" s="1424"/>
    </row>
    <row r="367" spans="1:5" ht="15.6" hidden="1" x14ac:dyDescent="0.3">
      <c r="A367" s="1046"/>
      <c r="B367" s="1046"/>
      <c r="C367" s="1046" t="s">
        <v>1154</v>
      </c>
      <c r="D367" s="1046"/>
      <c r="E367" s="1046"/>
    </row>
    <row r="368" spans="1:5" ht="15.6" hidden="1" x14ac:dyDescent="0.3">
      <c r="A368" s="1046"/>
      <c r="B368" s="349" t="s">
        <v>1148</v>
      </c>
      <c r="C368" s="349">
        <v>2581543</v>
      </c>
      <c r="D368" s="1046"/>
      <c r="E368" s="1046"/>
    </row>
    <row r="369" spans="2:5" hidden="1" x14ac:dyDescent="0.3">
      <c r="B369" s="407" t="s">
        <v>1149</v>
      </c>
      <c r="C369" s="1116">
        <f>C148</f>
        <v>0</v>
      </c>
    </row>
    <row r="370" spans="2:5" hidden="1" x14ac:dyDescent="0.3">
      <c r="B370" s="407" t="s">
        <v>1150</v>
      </c>
      <c r="C370" s="1116">
        <f>C261</f>
        <v>0</v>
      </c>
    </row>
    <row r="371" spans="2:5" hidden="1" x14ac:dyDescent="0.3">
      <c r="B371" s="407" t="s">
        <v>1151</v>
      </c>
      <c r="C371" s="1116">
        <f>C86+C95+C311+C94</f>
        <v>0</v>
      </c>
    </row>
    <row r="372" spans="2:5" ht="20.399999999999999" hidden="1" x14ac:dyDescent="0.3">
      <c r="B372" s="407" t="s">
        <v>1152</v>
      </c>
      <c r="C372" s="1116">
        <f>C147+C323+C327+C346</f>
        <v>0</v>
      </c>
    </row>
    <row r="373" spans="2:5" hidden="1" x14ac:dyDescent="0.3">
      <c r="C373" s="1116">
        <f>SUM(C362:C372)</f>
        <v>2581543</v>
      </c>
    </row>
    <row r="374" spans="2:5" hidden="1" x14ac:dyDescent="0.3">
      <c r="C374" s="1116">
        <f>C373-E360</f>
        <v>2581543</v>
      </c>
    </row>
    <row r="375" spans="2:5" hidden="1" x14ac:dyDescent="0.3"/>
    <row r="376" spans="2:5" ht="15" x14ac:dyDescent="0.3">
      <c r="E376" s="579"/>
    </row>
  </sheetData>
  <autoFilter ref="A7:E333"/>
  <mergeCells count="7">
    <mergeCell ref="A356:B356"/>
    <mergeCell ref="A366:E366"/>
    <mergeCell ref="A4:E4"/>
    <mergeCell ref="A5:E5"/>
    <mergeCell ref="A6:C6"/>
    <mergeCell ref="A278:B278"/>
    <mergeCell ref="A355:B355"/>
  </mergeCells>
  <pageMargins left="0.39370078740157483" right="0.39370078740157483" top="0.98425196850393704" bottom="0.19685039370078741" header="0.23622047244094491" footer="0.19685039370078741"/>
  <pageSetup paperSize="9" scale="60" fitToHeight="10" orientation="landscape" horizontalDpi="360" verticalDpi="36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5"/>
  <sheetViews>
    <sheetView view="pageBreakPreview" zoomScaleNormal="100" zoomScaleSheetLayoutView="100" workbookViewId="0">
      <selection activeCell="A2" sqref="A2:XFD74"/>
    </sheetView>
  </sheetViews>
  <sheetFormatPr defaultRowHeight="14.4" x14ac:dyDescent="0.3"/>
  <cols>
    <col min="1" max="1" width="10" customWidth="1"/>
    <col min="2" max="2" width="35.6640625" customWidth="1"/>
    <col min="3" max="3" width="14.44140625" customWidth="1"/>
    <col min="4" max="4" width="13.44140625" customWidth="1"/>
    <col min="5" max="6" width="13.5546875" customWidth="1"/>
    <col min="7" max="7" width="12.44140625" customWidth="1"/>
    <col min="8" max="8" width="7.33203125" customWidth="1"/>
    <col min="9" max="9" width="17.44140625" customWidth="1"/>
  </cols>
  <sheetData>
    <row r="1" spans="1:9" x14ac:dyDescent="0.3">
      <c r="A1" s="549"/>
      <c r="B1" s="550"/>
      <c r="C1" s="551"/>
      <c r="D1" s="552" t="s">
        <v>862</v>
      </c>
      <c r="E1" s="552"/>
      <c r="F1" s="552"/>
      <c r="G1" s="552"/>
      <c r="H1" s="551"/>
    </row>
    <row r="2" spans="1:9" hidden="1" x14ac:dyDescent="0.3">
      <c r="A2" s="549"/>
      <c r="B2" s="550"/>
      <c r="C2" s="551"/>
      <c r="D2" s="552" t="s">
        <v>612</v>
      </c>
      <c r="E2" s="552"/>
      <c r="F2" s="552"/>
      <c r="G2" s="552"/>
      <c r="H2" s="551"/>
    </row>
    <row r="3" spans="1:9" hidden="1" x14ac:dyDescent="0.3">
      <c r="A3" s="549"/>
      <c r="B3" s="550"/>
      <c r="C3" s="551"/>
      <c r="D3" s="552" t="s">
        <v>1106</v>
      </c>
      <c r="E3" s="552"/>
      <c r="F3" s="552"/>
      <c r="G3" s="552"/>
      <c r="H3" s="551"/>
    </row>
    <row r="4" spans="1:9" hidden="1" x14ac:dyDescent="0.3">
      <c r="A4" s="554"/>
      <c r="B4" s="555"/>
      <c r="C4" s="556"/>
      <c r="D4" s="557" t="s">
        <v>1422</v>
      </c>
      <c r="E4" s="557"/>
      <c r="F4" s="558"/>
      <c r="G4" s="558"/>
      <c r="H4" s="556"/>
    </row>
    <row r="5" spans="1:9" hidden="1" x14ac:dyDescent="0.3">
      <c r="A5" s="1433" t="s">
        <v>863</v>
      </c>
      <c r="B5" s="1433"/>
      <c r="C5" s="1433"/>
      <c r="D5" s="1433"/>
      <c r="E5" s="1433"/>
      <c r="F5" s="1433"/>
      <c r="G5" s="1433"/>
      <c r="H5" s="1433"/>
    </row>
    <row r="6" spans="1:9" ht="26.4" hidden="1" customHeight="1" x14ac:dyDescent="0.3">
      <c r="A6" s="1434" t="s">
        <v>1449</v>
      </c>
      <c r="B6" s="1434"/>
      <c r="C6" s="1434"/>
      <c r="D6" s="1434"/>
      <c r="E6" s="1434"/>
      <c r="F6" s="1434"/>
      <c r="G6" s="1434"/>
      <c r="H6" s="1434"/>
    </row>
    <row r="7" spans="1:9" ht="18" hidden="1" customHeight="1" x14ac:dyDescent="0.3">
      <c r="A7" s="555"/>
      <c r="B7" s="559">
        <v>11503000000</v>
      </c>
      <c r="C7" s="555"/>
      <c r="D7" s="555"/>
      <c r="E7" s="555"/>
      <c r="F7" s="555"/>
      <c r="G7" s="555"/>
      <c r="H7" s="555"/>
    </row>
    <row r="8" spans="1:9" ht="21" hidden="1" customHeight="1" thickBot="1" x14ac:dyDescent="0.35">
      <c r="A8" s="549"/>
      <c r="B8" s="560" t="s">
        <v>252</v>
      </c>
      <c r="C8" s="561"/>
      <c r="D8" s="551"/>
      <c r="E8" s="551"/>
      <c r="F8" s="551"/>
      <c r="G8" s="551"/>
      <c r="H8" s="562" t="s">
        <v>568</v>
      </c>
    </row>
    <row r="9" spans="1:9" ht="28.5" hidden="1" customHeight="1" thickBot="1" x14ac:dyDescent="0.35">
      <c r="A9" s="563" t="s">
        <v>864</v>
      </c>
      <c r="B9" s="564" t="s">
        <v>865</v>
      </c>
      <c r="C9" s="565" t="s">
        <v>866</v>
      </c>
      <c r="D9" s="565" t="s">
        <v>867</v>
      </c>
      <c r="E9" s="565" t="s">
        <v>868</v>
      </c>
      <c r="F9" s="566" t="s">
        <v>869</v>
      </c>
      <c r="G9" s="566" t="s">
        <v>870</v>
      </c>
      <c r="H9" s="730" t="s">
        <v>871</v>
      </c>
    </row>
    <row r="10" spans="1:9" ht="15" hidden="1" thickBot="1" x14ac:dyDescent="0.35">
      <c r="A10" s="567">
        <v>2</v>
      </c>
      <c r="B10" s="568">
        <v>3</v>
      </c>
      <c r="C10" s="569">
        <v>4</v>
      </c>
      <c r="D10" s="569">
        <v>5</v>
      </c>
      <c r="E10" s="569">
        <v>6</v>
      </c>
      <c r="F10" s="569">
        <v>7</v>
      </c>
      <c r="G10" s="569">
        <v>8</v>
      </c>
      <c r="H10" s="570">
        <v>9</v>
      </c>
    </row>
    <row r="11" spans="1:9" ht="15" hidden="1" thickBot="1" x14ac:dyDescent="0.35">
      <c r="A11" s="1196">
        <v>10000000</v>
      </c>
      <c r="B11" s="1197" t="s">
        <v>872</v>
      </c>
      <c r="C11" s="1198">
        <v>171008739</v>
      </c>
      <c r="D11" s="1198">
        <v>177100897</v>
      </c>
      <c r="E11" s="1198">
        <v>54203958</v>
      </c>
      <c r="F11" s="1198">
        <v>57415487.189999998</v>
      </c>
      <c r="G11" s="1199">
        <v>3211529.19</v>
      </c>
      <c r="H11" s="1200">
        <v>105.92</v>
      </c>
    </row>
    <row r="12" spans="1:9" ht="28.5" hidden="1" customHeight="1" x14ac:dyDescent="0.3">
      <c r="A12" s="1194">
        <v>11000000</v>
      </c>
      <c r="B12" s="1189" t="s">
        <v>873</v>
      </c>
      <c r="C12" s="1190">
        <v>88027969</v>
      </c>
      <c r="D12" s="1190">
        <v>91303440</v>
      </c>
      <c r="E12" s="1190">
        <v>26039171</v>
      </c>
      <c r="F12" s="1190">
        <v>26933899.32</v>
      </c>
      <c r="G12" s="1191">
        <v>894728.32</v>
      </c>
      <c r="H12" s="1195">
        <v>103.44</v>
      </c>
    </row>
    <row r="13" spans="1:9" ht="22.95" hidden="1" customHeight="1" x14ac:dyDescent="0.3">
      <c r="A13" s="1193">
        <v>11010000</v>
      </c>
      <c r="B13" s="728" t="s">
        <v>263</v>
      </c>
      <c r="C13" s="729">
        <v>87881369</v>
      </c>
      <c r="D13" s="729">
        <v>91156840</v>
      </c>
      <c r="E13" s="729">
        <v>25892571</v>
      </c>
      <c r="F13" s="729">
        <v>26819421.32</v>
      </c>
      <c r="G13" s="727">
        <v>926850.32</v>
      </c>
      <c r="H13" s="1192">
        <v>103.58</v>
      </c>
    </row>
    <row r="14" spans="1:9" ht="51" hidden="1" customHeight="1" x14ac:dyDescent="0.3">
      <c r="A14" s="1193">
        <v>11010100</v>
      </c>
      <c r="B14" s="728" t="s">
        <v>265</v>
      </c>
      <c r="C14" s="729">
        <v>67969079</v>
      </c>
      <c r="D14" s="729">
        <v>69711939</v>
      </c>
      <c r="E14" s="729">
        <v>21842860</v>
      </c>
      <c r="F14" s="729">
        <v>22632252.829999998</v>
      </c>
      <c r="G14" s="727">
        <v>789392.83</v>
      </c>
      <c r="H14" s="1192">
        <v>103.61</v>
      </c>
    </row>
    <row r="15" spans="1:9" ht="55.2" hidden="1" customHeight="1" x14ac:dyDescent="0.3">
      <c r="A15" s="1193">
        <v>11010400</v>
      </c>
      <c r="B15" s="728" t="s">
        <v>269</v>
      </c>
      <c r="C15" s="729">
        <v>16864790</v>
      </c>
      <c r="D15" s="729">
        <v>18397401</v>
      </c>
      <c r="E15" s="729">
        <v>3350611</v>
      </c>
      <c r="F15" s="729">
        <v>3716472.37</v>
      </c>
      <c r="G15" s="727">
        <v>365861.37</v>
      </c>
      <c r="H15" s="1192">
        <v>110.92</v>
      </c>
      <c r="I15" s="1187"/>
    </row>
    <row r="16" spans="1:9" ht="39.6" hidden="1" x14ac:dyDescent="0.3">
      <c r="A16" s="1193">
        <v>11010500</v>
      </c>
      <c r="B16" s="728" t="s">
        <v>271</v>
      </c>
      <c r="C16" s="729">
        <v>1281300</v>
      </c>
      <c r="D16" s="729">
        <v>1281300</v>
      </c>
      <c r="E16" s="729">
        <v>592100</v>
      </c>
      <c r="F16" s="729">
        <v>318507.55</v>
      </c>
      <c r="G16" s="727">
        <v>-273592.45</v>
      </c>
      <c r="H16" s="1192">
        <v>53.79</v>
      </c>
    </row>
    <row r="17" spans="1:8" ht="44.25" hidden="1" customHeight="1" x14ac:dyDescent="0.3">
      <c r="A17" s="1193">
        <v>11011300</v>
      </c>
      <c r="B17" s="728" t="s">
        <v>874</v>
      </c>
      <c r="C17" s="729">
        <v>1766200</v>
      </c>
      <c r="D17" s="729">
        <v>1766200</v>
      </c>
      <c r="E17" s="729">
        <v>107000</v>
      </c>
      <c r="F17" s="729">
        <v>152188.57</v>
      </c>
      <c r="G17" s="727">
        <v>45188.57</v>
      </c>
      <c r="H17" s="1192">
        <v>142.22999999999999</v>
      </c>
    </row>
    <row r="18" spans="1:8" ht="18.75" hidden="1" customHeight="1" x14ac:dyDescent="0.3">
      <c r="A18" s="1193">
        <v>11020000</v>
      </c>
      <c r="B18" s="728" t="s">
        <v>875</v>
      </c>
      <c r="C18" s="729">
        <v>146600</v>
      </c>
      <c r="D18" s="729">
        <v>146600</v>
      </c>
      <c r="E18" s="729">
        <v>146600</v>
      </c>
      <c r="F18" s="729">
        <v>114478</v>
      </c>
      <c r="G18" s="727">
        <v>-32122</v>
      </c>
      <c r="H18" s="1192">
        <v>78.09</v>
      </c>
    </row>
    <row r="19" spans="1:8" ht="29.25" hidden="1" customHeight="1" x14ac:dyDescent="0.3">
      <c r="A19" s="1193">
        <v>11020200</v>
      </c>
      <c r="B19" s="728" t="s">
        <v>876</v>
      </c>
      <c r="C19" s="729">
        <v>146600</v>
      </c>
      <c r="D19" s="729">
        <v>146600</v>
      </c>
      <c r="E19" s="729">
        <v>146600</v>
      </c>
      <c r="F19" s="729">
        <v>114478</v>
      </c>
      <c r="G19" s="727">
        <v>-32122</v>
      </c>
      <c r="H19" s="1192">
        <v>78.09</v>
      </c>
    </row>
    <row r="20" spans="1:8" ht="27.75" hidden="1" customHeight="1" x14ac:dyDescent="0.3">
      <c r="A20" s="1193">
        <v>13000000</v>
      </c>
      <c r="B20" s="728" t="s">
        <v>877</v>
      </c>
      <c r="C20" s="729">
        <v>71200</v>
      </c>
      <c r="D20" s="729">
        <v>71200</v>
      </c>
      <c r="E20" s="729">
        <v>21900</v>
      </c>
      <c r="F20" s="729">
        <v>15504.44</v>
      </c>
      <c r="G20" s="727">
        <v>-6395.56</v>
      </c>
      <c r="H20" s="1192">
        <v>70.8</v>
      </c>
    </row>
    <row r="21" spans="1:8" ht="26.4" hidden="1" x14ac:dyDescent="0.3">
      <c r="A21" s="1193">
        <v>13010000</v>
      </c>
      <c r="B21" s="728" t="s">
        <v>878</v>
      </c>
      <c r="C21" s="729">
        <v>16100</v>
      </c>
      <c r="D21" s="729">
        <v>16100</v>
      </c>
      <c r="E21" s="729">
        <v>8600</v>
      </c>
      <c r="F21" s="729">
        <v>8644.2199999999993</v>
      </c>
      <c r="G21" s="727">
        <v>44.22</v>
      </c>
      <c r="H21" s="1192">
        <v>100.51</v>
      </c>
    </row>
    <row r="22" spans="1:8" ht="66" hidden="1" x14ac:dyDescent="0.3">
      <c r="A22" s="1193">
        <v>13010200</v>
      </c>
      <c r="B22" s="728" t="s">
        <v>879</v>
      </c>
      <c r="C22" s="729">
        <v>16100</v>
      </c>
      <c r="D22" s="729">
        <v>16100</v>
      </c>
      <c r="E22" s="729">
        <v>8600</v>
      </c>
      <c r="F22" s="729">
        <v>8644.2199999999993</v>
      </c>
      <c r="G22" s="727">
        <v>44.22</v>
      </c>
      <c r="H22" s="1192">
        <v>100.51</v>
      </c>
    </row>
    <row r="23" spans="1:8" ht="28.5" hidden="1" customHeight="1" x14ac:dyDescent="0.3">
      <c r="A23" s="1193">
        <v>13030000</v>
      </c>
      <c r="B23" s="728" t="s">
        <v>277</v>
      </c>
      <c r="C23" s="729">
        <v>55100</v>
      </c>
      <c r="D23" s="729">
        <v>55100</v>
      </c>
      <c r="E23" s="729">
        <v>13300</v>
      </c>
      <c r="F23" s="729">
        <v>6860.22</v>
      </c>
      <c r="G23" s="727">
        <v>-6439.78</v>
      </c>
      <c r="H23" s="1192">
        <v>51.58</v>
      </c>
    </row>
    <row r="24" spans="1:8" ht="45" hidden="1" customHeight="1" x14ac:dyDescent="0.3">
      <c r="A24" s="1193">
        <v>13030100</v>
      </c>
      <c r="B24" s="728" t="s">
        <v>278</v>
      </c>
      <c r="C24" s="729">
        <v>55100</v>
      </c>
      <c r="D24" s="729">
        <v>55100</v>
      </c>
      <c r="E24" s="729">
        <v>13300</v>
      </c>
      <c r="F24" s="729">
        <v>6860.22</v>
      </c>
      <c r="G24" s="727">
        <v>-6439.78</v>
      </c>
      <c r="H24" s="1192">
        <v>51.58</v>
      </c>
    </row>
    <row r="25" spans="1:8" hidden="1" x14ac:dyDescent="0.3">
      <c r="A25" s="1193">
        <v>14000000</v>
      </c>
      <c r="B25" s="728" t="s">
        <v>880</v>
      </c>
      <c r="C25" s="729">
        <v>11204500</v>
      </c>
      <c r="D25" s="729">
        <v>11821800</v>
      </c>
      <c r="E25" s="729">
        <v>3893400</v>
      </c>
      <c r="F25" s="729">
        <v>3921772.11</v>
      </c>
      <c r="G25" s="727">
        <v>28372.11</v>
      </c>
      <c r="H25" s="1192">
        <v>100.73</v>
      </c>
    </row>
    <row r="26" spans="1:8" ht="28.5" hidden="1" customHeight="1" x14ac:dyDescent="0.3">
      <c r="A26" s="1193">
        <v>14020000</v>
      </c>
      <c r="B26" s="728" t="s">
        <v>282</v>
      </c>
      <c r="C26" s="729">
        <v>856900</v>
      </c>
      <c r="D26" s="729">
        <v>856900</v>
      </c>
      <c r="E26" s="729">
        <v>223800</v>
      </c>
      <c r="F26" s="729">
        <v>192501.09</v>
      </c>
      <c r="G26" s="727">
        <v>-31298.91</v>
      </c>
      <c r="H26" s="1192">
        <v>86.01</v>
      </c>
    </row>
    <row r="27" spans="1:8" hidden="1" x14ac:dyDescent="0.3">
      <c r="A27" s="1193">
        <v>14021900</v>
      </c>
      <c r="B27" s="728" t="s">
        <v>284</v>
      </c>
      <c r="C27" s="729">
        <v>856900</v>
      </c>
      <c r="D27" s="729">
        <v>856900</v>
      </c>
      <c r="E27" s="729">
        <v>223800</v>
      </c>
      <c r="F27" s="729">
        <v>192501.09</v>
      </c>
      <c r="G27" s="727">
        <v>-31298.91</v>
      </c>
      <c r="H27" s="1192">
        <v>86.01</v>
      </c>
    </row>
    <row r="28" spans="1:8" ht="39.6" hidden="1" customHeight="1" x14ac:dyDescent="0.3">
      <c r="A28" s="1193">
        <v>14030000</v>
      </c>
      <c r="B28" s="728" t="s">
        <v>881</v>
      </c>
      <c r="C28" s="729">
        <v>3910000</v>
      </c>
      <c r="D28" s="729">
        <v>3910000</v>
      </c>
      <c r="E28" s="729">
        <v>1209800</v>
      </c>
      <c r="F28" s="729">
        <v>949031.48</v>
      </c>
      <c r="G28" s="727">
        <v>-260768.52</v>
      </c>
      <c r="H28" s="1192">
        <v>78.45</v>
      </c>
    </row>
    <row r="29" spans="1:8" hidden="1" x14ac:dyDescent="0.3">
      <c r="A29" s="1193">
        <v>14031900</v>
      </c>
      <c r="B29" s="728" t="s">
        <v>284</v>
      </c>
      <c r="C29" s="729">
        <v>3910000</v>
      </c>
      <c r="D29" s="729">
        <v>3910000</v>
      </c>
      <c r="E29" s="729">
        <v>1209800</v>
      </c>
      <c r="F29" s="729">
        <v>949031.48</v>
      </c>
      <c r="G29" s="727">
        <v>-260768.52</v>
      </c>
      <c r="H29" s="1192">
        <v>78.45</v>
      </c>
    </row>
    <row r="30" spans="1:8" ht="39.6" hidden="1" x14ac:dyDescent="0.3">
      <c r="A30" s="1193">
        <v>14040000</v>
      </c>
      <c r="B30" s="728" t="s">
        <v>662</v>
      </c>
      <c r="C30" s="729">
        <v>6437600</v>
      </c>
      <c r="D30" s="729">
        <v>7054900</v>
      </c>
      <c r="E30" s="729">
        <v>2459800</v>
      </c>
      <c r="F30" s="729">
        <v>2780239.54</v>
      </c>
      <c r="G30" s="727">
        <v>320439.53999999998</v>
      </c>
      <c r="H30" s="1192">
        <v>113.03</v>
      </c>
    </row>
    <row r="31" spans="1:8" ht="105.6" hidden="1" x14ac:dyDescent="0.3">
      <c r="A31" s="1193">
        <v>14040100</v>
      </c>
      <c r="B31" s="728" t="s">
        <v>882</v>
      </c>
      <c r="C31" s="729">
        <v>3395100</v>
      </c>
      <c r="D31" s="729">
        <v>3872400</v>
      </c>
      <c r="E31" s="729">
        <v>1516200</v>
      </c>
      <c r="F31" s="729">
        <v>1853428.12</v>
      </c>
      <c r="G31" s="727">
        <v>337228.12</v>
      </c>
      <c r="H31" s="1192">
        <v>122.24</v>
      </c>
    </row>
    <row r="32" spans="1:8" ht="79.2" hidden="1" x14ac:dyDescent="0.3">
      <c r="A32" s="1193">
        <v>14040200</v>
      </c>
      <c r="B32" s="728" t="s">
        <v>596</v>
      </c>
      <c r="C32" s="729">
        <v>3042500</v>
      </c>
      <c r="D32" s="729">
        <v>3182500</v>
      </c>
      <c r="E32" s="729">
        <v>943600</v>
      </c>
      <c r="F32" s="729">
        <v>926811.42</v>
      </c>
      <c r="G32" s="727">
        <v>-16788.580000000002</v>
      </c>
      <c r="H32" s="1192">
        <v>98.22</v>
      </c>
    </row>
    <row r="33" spans="1:8" ht="39.6" hidden="1" x14ac:dyDescent="0.3">
      <c r="A33" s="1193">
        <v>18000000</v>
      </c>
      <c r="B33" s="728" t="s">
        <v>883</v>
      </c>
      <c r="C33" s="729">
        <v>71705070</v>
      </c>
      <c r="D33" s="729">
        <v>73904457</v>
      </c>
      <c r="E33" s="729">
        <v>24249487</v>
      </c>
      <c r="F33" s="729">
        <v>26544311.32</v>
      </c>
      <c r="G33" s="727">
        <v>2294824.3199999998</v>
      </c>
      <c r="H33" s="1192">
        <v>109.46</v>
      </c>
    </row>
    <row r="34" spans="1:8" ht="21.75" hidden="1" customHeight="1" x14ac:dyDescent="0.3">
      <c r="A34" s="1193">
        <v>18010000</v>
      </c>
      <c r="B34" s="728" t="s">
        <v>292</v>
      </c>
      <c r="C34" s="729">
        <v>39461000</v>
      </c>
      <c r="D34" s="729">
        <v>40117387</v>
      </c>
      <c r="E34" s="729">
        <v>11137487</v>
      </c>
      <c r="F34" s="729">
        <v>11810985.810000001</v>
      </c>
      <c r="G34" s="727">
        <v>673498.81</v>
      </c>
      <c r="H34" s="1192">
        <v>106.05</v>
      </c>
    </row>
    <row r="35" spans="1:8" ht="52.8" hidden="1" x14ac:dyDescent="0.3">
      <c r="A35" s="1193">
        <v>18010100</v>
      </c>
      <c r="B35" s="728" t="s">
        <v>294</v>
      </c>
      <c r="C35" s="729">
        <v>32700</v>
      </c>
      <c r="D35" s="729">
        <v>32700</v>
      </c>
      <c r="E35" s="729">
        <v>21900</v>
      </c>
      <c r="F35" s="729">
        <v>24608.58</v>
      </c>
      <c r="G35" s="727">
        <v>2708.58</v>
      </c>
      <c r="H35" s="1192">
        <v>112.37</v>
      </c>
    </row>
    <row r="36" spans="1:8" ht="52.8" hidden="1" x14ac:dyDescent="0.3">
      <c r="A36" s="1193">
        <v>18010200</v>
      </c>
      <c r="B36" s="728" t="s">
        <v>296</v>
      </c>
      <c r="C36" s="729">
        <v>461700</v>
      </c>
      <c r="D36" s="729">
        <v>461700</v>
      </c>
      <c r="E36" s="729">
        <v>283900</v>
      </c>
      <c r="F36" s="729">
        <v>192141.85</v>
      </c>
      <c r="G36" s="727">
        <v>-91758.15</v>
      </c>
      <c r="H36" s="1192">
        <v>67.680000000000007</v>
      </c>
    </row>
    <row r="37" spans="1:8" ht="52.8" hidden="1" x14ac:dyDescent="0.3">
      <c r="A37" s="1193">
        <v>18010300</v>
      </c>
      <c r="B37" s="728" t="s">
        <v>298</v>
      </c>
      <c r="C37" s="729">
        <v>767100</v>
      </c>
      <c r="D37" s="729">
        <v>767100</v>
      </c>
      <c r="E37" s="729">
        <v>181500</v>
      </c>
      <c r="F37" s="729">
        <v>319506.92</v>
      </c>
      <c r="G37" s="727">
        <v>138006.92000000001</v>
      </c>
      <c r="H37" s="1192">
        <v>176.04</v>
      </c>
    </row>
    <row r="38" spans="1:8" ht="51" hidden="1" customHeight="1" x14ac:dyDescent="0.3">
      <c r="A38" s="1193">
        <v>18010400</v>
      </c>
      <c r="B38" s="728" t="s">
        <v>300</v>
      </c>
      <c r="C38" s="729">
        <v>2227100</v>
      </c>
      <c r="D38" s="729">
        <v>2227100</v>
      </c>
      <c r="E38" s="729">
        <v>989800</v>
      </c>
      <c r="F38" s="729">
        <v>776705.84</v>
      </c>
      <c r="G38" s="727">
        <v>-213094.16</v>
      </c>
      <c r="H38" s="1192">
        <v>78.47</v>
      </c>
    </row>
    <row r="39" spans="1:8" hidden="1" x14ac:dyDescent="0.3">
      <c r="A39" s="1193">
        <v>18010500</v>
      </c>
      <c r="B39" s="728" t="s">
        <v>884</v>
      </c>
      <c r="C39" s="729">
        <v>3196500</v>
      </c>
      <c r="D39" s="729">
        <v>3196500</v>
      </c>
      <c r="E39" s="729">
        <v>987900</v>
      </c>
      <c r="F39" s="729">
        <v>1313608.19</v>
      </c>
      <c r="G39" s="727">
        <v>325708.19</v>
      </c>
      <c r="H39" s="1192">
        <v>132.97</v>
      </c>
    </row>
    <row r="40" spans="1:8" hidden="1" x14ac:dyDescent="0.3">
      <c r="A40" s="1193">
        <v>18010600</v>
      </c>
      <c r="B40" s="728" t="s">
        <v>885</v>
      </c>
      <c r="C40" s="729">
        <v>26050000</v>
      </c>
      <c r="D40" s="729">
        <v>26706387</v>
      </c>
      <c r="E40" s="729">
        <v>7506387</v>
      </c>
      <c r="F40" s="729">
        <v>7960518.9299999997</v>
      </c>
      <c r="G40" s="727">
        <v>454131.93</v>
      </c>
      <c r="H40" s="1192">
        <v>106.05</v>
      </c>
    </row>
    <row r="41" spans="1:8" hidden="1" x14ac:dyDescent="0.3">
      <c r="A41" s="1193">
        <v>18010700</v>
      </c>
      <c r="B41" s="728" t="s">
        <v>886</v>
      </c>
      <c r="C41" s="729">
        <v>1858000</v>
      </c>
      <c r="D41" s="729">
        <v>1858000</v>
      </c>
      <c r="E41" s="729">
        <v>137300</v>
      </c>
      <c r="F41" s="729">
        <v>98780.53</v>
      </c>
      <c r="G41" s="727">
        <v>-38519.47</v>
      </c>
      <c r="H41" s="1192">
        <v>71.95</v>
      </c>
    </row>
    <row r="42" spans="1:8" hidden="1" x14ac:dyDescent="0.3">
      <c r="A42" s="1193">
        <v>18010900</v>
      </c>
      <c r="B42" s="728" t="s">
        <v>887</v>
      </c>
      <c r="C42" s="729">
        <v>4779100</v>
      </c>
      <c r="D42" s="729">
        <v>4779100</v>
      </c>
      <c r="E42" s="729">
        <v>980000</v>
      </c>
      <c r="F42" s="729">
        <v>1003941.64</v>
      </c>
      <c r="G42" s="727">
        <v>23941.64</v>
      </c>
      <c r="H42" s="1192">
        <v>102.44</v>
      </c>
    </row>
    <row r="43" spans="1:8" hidden="1" x14ac:dyDescent="0.3">
      <c r="A43" s="1193">
        <v>18011000</v>
      </c>
      <c r="B43" s="728" t="s">
        <v>310</v>
      </c>
      <c r="C43" s="729">
        <v>20200</v>
      </c>
      <c r="D43" s="729">
        <v>20200</v>
      </c>
      <c r="E43" s="729">
        <v>4200</v>
      </c>
      <c r="F43" s="729">
        <v>0</v>
      </c>
      <c r="G43" s="727">
        <v>-4200</v>
      </c>
      <c r="H43" s="1192">
        <v>0</v>
      </c>
    </row>
    <row r="44" spans="1:8" hidden="1" x14ac:dyDescent="0.3">
      <c r="A44" s="1193">
        <v>18011100</v>
      </c>
      <c r="B44" s="728" t="s">
        <v>312</v>
      </c>
      <c r="C44" s="729">
        <v>68600</v>
      </c>
      <c r="D44" s="729">
        <v>68600</v>
      </c>
      <c r="E44" s="729">
        <v>44600</v>
      </c>
      <c r="F44" s="729">
        <v>121173.33</v>
      </c>
      <c r="G44" s="727">
        <v>76573.33</v>
      </c>
      <c r="H44" s="1192">
        <v>271.69</v>
      </c>
    </row>
    <row r="45" spans="1:8" hidden="1" x14ac:dyDescent="0.3">
      <c r="A45" s="1193">
        <v>18030000</v>
      </c>
      <c r="B45" s="728" t="s">
        <v>617</v>
      </c>
      <c r="C45" s="729">
        <v>89000</v>
      </c>
      <c r="D45" s="729">
        <v>89000</v>
      </c>
      <c r="E45" s="729">
        <v>22800</v>
      </c>
      <c r="F45" s="729">
        <v>28292.400000000001</v>
      </c>
      <c r="G45" s="727">
        <v>5492.4</v>
      </c>
      <c r="H45" s="1192">
        <v>124.09</v>
      </c>
    </row>
    <row r="46" spans="1:8" ht="26.4" hidden="1" x14ac:dyDescent="0.3">
      <c r="A46" s="1193">
        <v>18030100</v>
      </c>
      <c r="B46" s="728" t="s">
        <v>619</v>
      </c>
      <c r="C46" s="729">
        <v>9800</v>
      </c>
      <c r="D46" s="729">
        <v>9800</v>
      </c>
      <c r="E46" s="729">
        <v>7600</v>
      </c>
      <c r="F46" s="729">
        <v>7016.3</v>
      </c>
      <c r="G46" s="727">
        <v>-583.70000000000005</v>
      </c>
      <c r="H46" s="1192">
        <v>92.32</v>
      </c>
    </row>
    <row r="47" spans="1:8" ht="26.4" hidden="1" customHeight="1" x14ac:dyDescent="0.3">
      <c r="A47" s="1193">
        <v>18030200</v>
      </c>
      <c r="B47" s="728" t="s">
        <v>621</v>
      </c>
      <c r="C47" s="729">
        <v>79200</v>
      </c>
      <c r="D47" s="729">
        <v>79200</v>
      </c>
      <c r="E47" s="729">
        <v>15200</v>
      </c>
      <c r="F47" s="729">
        <v>21276.1</v>
      </c>
      <c r="G47" s="727">
        <v>6076.1</v>
      </c>
      <c r="H47" s="1192">
        <v>139.97</v>
      </c>
    </row>
    <row r="48" spans="1:8" hidden="1" x14ac:dyDescent="0.3">
      <c r="A48" s="1193">
        <v>18050000</v>
      </c>
      <c r="B48" s="728" t="s">
        <v>888</v>
      </c>
      <c r="C48" s="729">
        <v>32155070</v>
      </c>
      <c r="D48" s="729">
        <v>33698070</v>
      </c>
      <c r="E48" s="729">
        <v>13089200</v>
      </c>
      <c r="F48" s="729">
        <v>14705033.109999999</v>
      </c>
      <c r="G48" s="727">
        <v>1615833.11</v>
      </c>
      <c r="H48" s="1192">
        <v>112.34</v>
      </c>
    </row>
    <row r="49" spans="1:8" hidden="1" x14ac:dyDescent="0.3">
      <c r="A49" s="1193">
        <v>18050300</v>
      </c>
      <c r="B49" s="728" t="s">
        <v>889</v>
      </c>
      <c r="C49" s="729">
        <v>869800</v>
      </c>
      <c r="D49" s="729">
        <v>869800</v>
      </c>
      <c r="E49" s="729">
        <v>190500</v>
      </c>
      <c r="F49" s="729">
        <v>494656.55</v>
      </c>
      <c r="G49" s="727">
        <v>304156.55</v>
      </c>
      <c r="H49" s="1192">
        <v>259.66000000000003</v>
      </c>
    </row>
    <row r="50" spans="1:8" hidden="1" x14ac:dyDescent="0.3">
      <c r="A50" s="1193">
        <v>18050400</v>
      </c>
      <c r="B50" s="728" t="s">
        <v>890</v>
      </c>
      <c r="C50" s="729">
        <v>18549970</v>
      </c>
      <c r="D50" s="729">
        <v>20092970</v>
      </c>
      <c r="E50" s="729">
        <v>7863900</v>
      </c>
      <c r="F50" s="729">
        <v>8568355.8800000008</v>
      </c>
      <c r="G50" s="727">
        <v>704455.88</v>
      </c>
      <c r="H50" s="1192">
        <v>108.96</v>
      </c>
    </row>
    <row r="51" spans="1:8" ht="79.8" hidden="1" thickBot="1" x14ac:dyDescent="0.35">
      <c r="A51" s="1201">
        <v>18050500</v>
      </c>
      <c r="B51" s="1202" t="s">
        <v>891</v>
      </c>
      <c r="C51" s="1203">
        <v>12735300</v>
      </c>
      <c r="D51" s="1203">
        <v>12735300</v>
      </c>
      <c r="E51" s="1203">
        <v>5034800</v>
      </c>
      <c r="F51" s="1203">
        <v>5642020.6799999997</v>
      </c>
      <c r="G51" s="1204">
        <v>607220.68000000005</v>
      </c>
      <c r="H51" s="1205">
        <v>112.06</v>
      </c>
    </row>
    <row r="52" spans="1:8" ht="15" hidden="1" thickBot="1" x14ac:dyDescent="0.35">
      <c r="A52" s="1196">
        <v>20000000</v>
      </c>
      <c r="B52" s="1197" t="s">
        <v>892</v>
      </c>
      <c r="C52" s="1198">
        <v>2774500</v>
      </c>
      <c r="D52" s="1198">
        <v>2774500</v>
      </c>
      <c r="E52" s="1198">
        <v>1254200</v>
      </c>
      <c r="F52" s="1198">
        <v>-556540.63</v>
      </c>
      <c r="G52" s="1199">
        <v>-1810740.63</v>
      </c>
      <c r="H52" s="1200">
        <v>-44.37</v>
      </c>
    </row>
    <row r="53" spans="1:8" ht="26.4" hidden="1" x14ac:dyDescent="0.3">
      <c r="A53" s="1194">
        <v>21000000</v>
      </c>
      <c r="B53" s="1189" t="s">
        <v>663</v>
      </c>
      <c r="C53" s="1190">
        <v>822200</v>
      </c>
      <c r="D53" s="1190">
        <v>822200</v>
      </c>
      <c r="E53" s="1190">
        <v>547400</v>
      </c>
      <c r="F53" s="1190">
        <v>-1158250.6499999999</v>
      </c>
      <c r="G53" s="1191">
        <v>-1705650.65</v>
      </c>
      <c r="H53" s="1195">
        <v>-211.59</v>
      </c>
    </row>
    <row r="54" spans="1:8" hidden="1" x14ac:dyDescent="0.3">
      <c r="A54" s="1193">
        <v>21080000</v>
      </c>
      <c r="B54" s="728" t="s">
        <v>665</v>
      </c>
      <c r="C54" s="729">
        <v>822200</v>
      </c>
      <c r="D54" s="729">
        <v>822200</v>
      </c>
      <c r="E54" s="729">
        <v>547400</v>
      </c>
      <c r="F54" s="729">
        <v>-1158250.6499999999</v>
      </c>
      <c r="G54" s="727">
        <v>-1705650.65</v>
      </c>
      <c r="H54" s="1192">
        <v>-211.59</v>
      </c>
    </row>
    <row r="55" spans="1:8" hidden="1" x14ac:dyDescent="0.3">
      <c r="A55" s="1193">
        <v>21081100</v>
      </c>
      <c r="B55" s="728" t="s">
        <v>893</v>
      </c>
      <c r="C55" s="729">
        <v>661800</v>
      </c>
      <c r="D55" s="729">
        <v>661800</v>
      </c>
      <c r="E55" s="729">
        <v>481400</v>
      </c>
      <c r="F55" s="729">
        <v>-1221633.45</v>
      </c>
      <c r="G55" s="727">
        <v>-1703033.45</v>
      </c>
      <c r="H55" s="1192">
        <v>-253.77</v>
      </c>
    </row>
    <row r="56" spans="1:8" ht="105.6" hidden="1" customHeight="1" x14ac:dyDescent="0.3">
      <c r="A56" s="1193">
        <v>21081500</v>
      </c>
      <c r="B56" s="728" t="s">
        <v>1177</v>
      </c>
      <c r="C56" s="729">
        <v>12000</v>
      </c>
      <c r="D56" s="729">
        <v>12000</v>
      </c>
      <c r="E56" s="729">
        <v>0</v>
      </c>
      <c r="F56" s="729">
        <v>51000</v>
      </c>
      <c r="G56" s="727">
        <v>51000</v>
      </c>
      <c r="H56" s="1192">
        <v>0</v>
      </c>
    </row>
    <row r="57" spans="1:8" ht="51" hidden="1" customHeight="1" x14ac:dyDescent="0.3">
      <c r="A57" s="1193">
        <v>21081800</v>
      </c>
      <c r="B57" s="728" t="s">
        <v>900</v>
      </c>
      <c r="C57" s="729">
        <v>148400</v>
      </c>
      <c r="D57" s="729">
        <v>148400</v>
      </c>
      <c r="E57" s="729">
        <v>66000</v>
      </c>
      <c r="F57" s="729">
        <v>12382.8</v>
      </c>
      <c r="G57" s="727">
        <v>-53617.2</v>
      </c>
      <c r="H57" s="1192">
        <v>18.760000000000002</v>
      </c>
    </row>
    <row r="58" spans="1:8" ht="36.75" hidden="1" customHeight="1" x14ac:dyDescent="0.3">
      <c r="A58" s="1193">
        <v>22000000</v>
      </c>
      <c r="B58" s="728" t="s">
        <v>894</v>
      </c>
      <c r="C58" s="729">
        <v>1952300</v>
      </c>
      <c r="D58" s="729">
        <v>1952300</v>
      </c>
      <c r="E58" s="729">
        <v>706800</v>
      </c>
      <c r="F58" s="729">
        <v>583760.80000000005</v>
      </c>
      <c r="G58" s="727">
        <v>-123039.2</v>
      </c>
      <c r="H58" s="1192">
        <v>82.59</v>
      </c>
    </row>
    <row r="59" spans="1:8" hidden="1" x14ac:dyDescent="0.3">
      <c r="A59" s="1193">
        <v>22010000</v>
      </c>
      <c r="B59" s="728" t="s">
        <v>344</v>
      </c>
      <c r="C59" s="729">
        <v>1509700</v>
      </c>
      <c r="D59" s="729">
        <v>1509700</v>
      </c>
      <c r="E59" s="729">
        <v>565900</v>
      </c>
      <c r="F59" s="729">
        <v>454687.5</v>
      </c>
      <c r="G59" s="727">
        <v>-111212.5</v>
      </c>
      <c r="H59" s="1192">
        <v>80.349999999999994</v>
      </c>
    </row>
    <row r="60" spans="1:8" ht="39" hidden="1" customHeight="1" x14ac:dyDescent="0.3">
      <c r="A60" s="1193">
        <v>22010300</v>
      </c>
      <c r="B60" s="728" t="s">
        <v>1178</v>
      </c>
      <c r="C60" s="729">
        <v>64400</v>
      </c>
      <c r="D60" s="729">
        <v>64400</v>
      </c>
      <c r="E60" s="729">
        <v>19500</v>
      </c>
      <c r="F60" s="729">
        <v>18470</v>
      </c>
      <c r="G60" s="727">
        <v>-1030</v>
      </c>
      <c r="H60" s="1192">
        <v>94.72</v>
      </c>
    </row>
    <row r="61" spans="1:8" ht="24" hidden="1" customHeight="1" x14ac:dyDescent="0.3">
      <c r="A61" s="1193">
        <v>22012500</v>
      </c>
      <c r="B61" s="728" t="s">
        <v>348</v>
      </c>
      <c r="C61" s="729">
        <v>916300</v>
      </c>
      <c r="D61" s="729">
        <v>916300</v>
      </c>
      <c r="E61" s="729">
        <v>346800</v>
      </c>
      <c r="F61" s="729">
        <v>262277.5</v>
      </c>
      <c r="G61" s="727">
        <v>-84522.5</v>
      </c>
      <c r="H61" s="1192">
        <v>75.63</v>
      </c>
    </row>
    <row r="62" spans="1:8" ht="39" hidden="1" customHeight="1" x14ac:dyDescent="0.3">
      <c r="A62" s="1193">
        <v>22012600</v>
      </c>
      <c r="B62" s="728" t="s">
        <v>350</v>
      </c>
      <c r="C62" s="729">
        <v>529000</v>
      </c>
      <c r="D62" s="729">
        <v>529000</v>
      </c>
      <c r="E62" s="729">
        <v>199600</v>
      </c>
      <c r="F62" s="729">
        <v>173940</v>
      </c>
      <c r="G62" s="727">
        <v>-25660</v>
      </c>
      <c r="H62" s="1192">
        <v>87.14</v>
      </c>
    </row>
    <row r="63" spans="1:8" hidden="1" x14ac:dyDescent="0.3">
      <c r="A63" s="1193">
        <v>22090000</v>
      </c>
      <c r="B63" s="728" t="s">
        <v>895</v>
      </c>
      <c r="C63" s="729">
        <v>343700</v>
      </c>
      <c r="D63" s="729">
        <v>343700</v>
      </c>
      <c r="E63" s="729">
        <v>133900</v>
      </c>
      <c r="F63" s="729">
        <v>123375.71</v>
      </c>
      <c r="G63" s="727">
        <v>-10524.29</v>
      </c>
      <c r="H63" s="1192">
        <v>92.14</v>
      </c>
    </row>
    <row r="64" spans="1:8" ht="50.4" hidden="1" customHeight="1" x14ac:dyDescent="0.3">
      <c r="A64" s="1193">
        <v>22090100</v>
      </c>
      <c r="B64" s="728" t="s">
        <v>896</v>
      </c>
      <c r="C64" s="729">
        <v>343700</v>
      </c>
      <c r="D64" s="729">
        <v>343700</v>
      </c>
      <c r="E64" s="729">
        <v>133900</v>
      </c>
      <c r="F64" s="729">
        <v>123375.71</v>
      </c>
      <c r="G64" s="727">
        <v>-10524.29</v>
      </c>
      <c r="H64" s="1192">
        <v>92.14</v>
      </c>
    </row>
    <row r="65" spans="1:9" ht="92.4" hidden="1" x14ac:dyDescent="0.3">
      <c r="A65" s="1193">
        <v>22130000</v>
      </c>
      <c r="B65" s="728" t="s">
        <v>623</v>
      </c>
      <c r="C65" s="729">
        <v>98900</v>
      </c>
      <c r="D65" s="729">
        <v>98900</v>
      </c>
      <c r="E65" s="729">
        <v>7000</v>
      </c>
      <c r="F65" s="729">
        <v>5697.59</v>
      </c>
      <c r="G65" s="727">
        <v>-1302.4100000000001</v>
      </c>
      <c r="H65" s="1192">
        <v>81.39</v>
      </c>
    </row>
    <row r="66" spans="1:9" hidden="1" x14ac:dyDescent="0.3">
      <c r="A66" s="1193">
        <v>24000000</v>
      </c>
      <c r="B66" s="728" t="s">
        <v>664</v>
      </c>
      <c r="C66" s="729">
        <v>0</v>
      </c>
      <c r="D66" s="729">
        <v>0</v>
      </c>
      <c r="E66" s="729">
        <v>0</v>
      </c>
      <c r="F66" s="729">
        <v>17949.22</v>
      </c>
      <c r="G66" s="727">
        <v>17949.22</v>
      </c>
      <c r="H66" s="1192">
        <v>0</v>
      </c>
    </row>
    <row r="67" spans="1:9" hidden="1" x14ac:dyDescent="0.3">
      <c r="A67" s="1193">
        <v>24060000</v>
      </c>
      <c r="B67" s="728" t="s">
        <v>665</v>
      </c>
      <c r="C67" s="729">
        <v>0</v>
      </c>
      <c r="D67" s="729">
        <v>0</v>
      </c>
      <c r="E67" s="729">
        <v>0</v>
      </c>
      <c r="F67" s="729">
        <v>17949.22</v>
      </c>
      <c r="G67" s="727">
        <v>17949.22</v>
      </c>
      <c r="H67" s="1192">
        <v>0</v>
      </c>
    </row>
    <row r="68" spans="1:9" ht="15" hidden="1" thickBot="1" x14ac:dyDescent="0.35">
      <c r="A68" s="1201">
        <v>24060300</v>
      </c>
      <c r="B68" s="1202" t="s">
        <v>665</v>
      </c>
      <c r="C68" s="1203">
        <v>0</v>
      </c>
      <c r="D68" s="1203">
        <v>0</v>
      </c>
      <c r="E68" s="1203">
        <v>0</v>
      </c>
      <c r="F68" s="1203">
        <v>17949.22</v>
      </c>
      <c r="G68" s="1204">
        <v>17949.22</v>
      </c>
      <c r="H68" s="1205">
        <v>0</v>
      </c>
    </row>
    <row r="69" spans="1:9" ht="15" hidden="1" thickBot="1" x14ac:dyDescent="0.35">
      <c r="A69" s="1196" t="s">
        <v>400</v>
      </c>
      <c r="B69" s="1197" t="s">
        <v>897</v>
      </c>
      <c r="C69" s="1198">
        <v>173783239</v>
      </c>
      <c r="D69" s="1198">
        <v>179875397</v>
      </c>
      <c r="E69" s="1198">
        <v>55458158</v>
      </c>
      <c r="F69" s="1198">
        <v>56858946.560000002</v>
      </c>
      <c r="G69" s="1199">
        <v>1400788.56</v>
      </c>
      <c r="H69" s="1200">
        <v>102.53</v>
      </c>
    </row>
    <row r="70" spans="1:9" ht="14.4" hidden="1" customHeight="1" x14ac:dyDescent="0.3">
      <c r="A70" s="1172"/>
      <c r="B70" s="1173"/>
      <c r="C70" s="1174"/>
      <c r="D70" s="1174"/>
      <c r="E70" s="1174"/>
      <c r="F70" s="1174"/>
      <c r="G70" s="1175"/>
      <c r="H70" s="1175"/>
    </row>
    <row r="71" spans="1:9" hidden="1" x14ac:dyDescent="0.3">
      <c r="A71" s="724"/>
      <c r="B71" s="725"/>
      <c r="C71" s="726"/>
      <c r="D71" s="726"/>
      <c r="E71" s="726"/>
      <c r="F71" s="726"/>
      <c r="G71" s="726"/>
      <c r="H71" s="726"/>
    </row>
    <row r="72" spans="1:9" s="553" customFormat="1" hidden="1" x14ac:dyDescent="0.3">
      <c r="A72" s="549"/>
      <c r="B72" s="550"/>
      <c r="C72" s="551"/>
      <c r="D72" s="551"/>
      <c r="E72" s="551"/>
      <c r="F72" s="551"/>
      <c r="G72" s="551"/>
      <c r="H72" s="551"/>
      <c r="I72"/>
    </row>
    <row r="73" spans="1:9" s="553" customFormat="1" hidden="1" x14ac:dyDescent="0.3">
      <c r="A73" s="571" t="s">
        <v>898</v>
      </c>
      <c r="B73" s="550"/>
      <c r="C73" s="551"/>
      <c r="D73" s="551"/>
      <c r="E73" s="551"/>
      <c r="F73" s="551"/>
      <c r="G73" s="551" t="s">
        <v>899</v>
      </c>
      <c r="H73" s="551"/>
      <c r="I73"/>
    </row>
    <row r="74" spans="1:9" s="553" customFormat="1" hidden="1" x14ac:dyDescent="0.3">
      <c r="A74" s="572"/>
      <c r="B74" s="573"/>
      <c r="C74" s="574"/>
      <c r="D74" s="574"/>
      <c r="E74" s="574"/>
      <c r="F74" s="574"/>
      <c r="G74" s="574"/>
      <c r="H74" s="574"/>
      <c r="I74"/>
    </row>
    <row r="75" spans="1:9" s="572" customFormat="1" x14ac:dyDescent="0.3">
      <c r="A75"/>
      <c r="B75"/>
      <c r="C75"/>
      <c r="D75"/>
      <c r="E75"/>
      <c r="F75"/>
      <c r="G75"/>
      <c r="H75"/>
      <c r="I75"/>
    </row>
  </sheetData>
  <mergeCells count="2">
    <mergeCell ref="A5:H5"/>
    <mergeCell ref="A6:H6"/>
  </mergeCells>
  <conditionalFormatting sqref="A11:A70">
    <cfRule type="expression" dxfId="1" priority="1" stopIfTrue="1">
      <formula>#REF!=1</formula>
    </cfRule>
  </conditionalFormatting>
  <conditionalFormatting sqref="B11:H70">
    <cfRule type="expression" dxfId="0" priority="2" stopIfTrue="1">
      <formula>#REF!=1</formula>
    </cfRule>
  </conditionalFormatting>
  <pageMargins left="1.1811023622047245" right="0.39370078740157483" top="0.78740157480314965" bottom="0.78740157480314965" header="0" footer="0"/>
  <pageSetup paperSize="9" scale="70"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28"/>
  <sheetViews>
    <sheetView view="pageBreakPreview" zoomScale="87" zoomScaleNormal="100" zoomScaleSheetLayoutView="87" workbookViewId="0">
      <selection activeCell="C5" sqref="C5"/>
    </sheetView>
  </sheetViews>
  <sheetFormatPr defaultColWidth="9.109375" defaultRowHeight="14.4" x14ac:dyDescent="0.3"/>
  <cols>
    <col min="1" max="1" width="12" customWidth="1"/>
    <col min="2" max="2" width="62.6640625" customWidth="1"/>
    <col min="3" max="3" width="13.33203125" customWidth="1"/>
    <col min="4" max="4" width="13.44140625" customWidth="1"/>
    <col min="5" max="5" width="14" customWidth="1"/>
    <col min="6" max="6" width="12.88671875" customWidth="1"/>
    <col min="7" max="7" width="9.109375" customWidth="1"/>
    <col min="8" max="8" width="15.44140625" customWidth="1"/>
    <col min="9" max="9" width="39.109375" customWidth="1"/>
    <col min="10" max="10" width="9.109375" customWidth="1"/>
    <col min="11" max="11" width="29.44140625" customWidth="1"/>
    <col min="12" max="12" width="9.109375" customWidth="1"/>
    <col min="14" max="14" width="0" hidden="1" customWidth="1"/>
    <col min="257" max="257" width="9.88671875" customWidth="1"/>
    <col min="258" max="258" width="58.44140625" customWidth="1"/>
    <col min="259" max="259" width="17" customWidth="1"/>
    <col min="260" max="260" width="18" customWidth="1"/>
    <col min="261" max="261" width="17.44140625" customWidth="1"/>
    <col min="262" max="268" width="0" hidden="1" customWidth="1"/>
    <col min="270" max="270" width="0" hidden="1" customWidth="1"/>
    <col min="513" max="513" width="9.88671875" customWidth="1"/>
    <col min="514" max="514" width="58.44140625" customWidth="1"/>
    <col min="515" max="515" width="17" customWidth="1"/>
    <col min="516" max="516" width="18" customWidth="1"/>
    <col min="517" max="517" width="17.44140625" customWidth="1"/>
    <col min="518" max="524" width="0" hidden="1" customWidth="1"/>
    <col min="526" max="526" width="0" hidden="1" customWidth="1"/>
    <col min="769" max="769" width="9.88671875" customWidth="1"/>
    <col min="770" max="770" width="58.44140625" customWidth="1"/>
    <col min="771" max="771" width="17" customWidth="1"/>
    <col min="772" max="772" width="18" customWidth="1"/>
    <col min="773" max="773" width="17.44140625" customWidth="1"/>
    <col min="774" max="780" width="0" hidden="1" customWidth="1"/>
    <col min="782" max="782" width="0" hidden="1" customWidth="1"/>
    <col min="1025" max="1025" width="9.88671875" customWidth="1"/>
    <col min="1026" max="1026" width="58.44140625" customWidth="1"/>
    <col min="1027" max="1027" width="17" customWidth="1"/>
    <col min="1028" max="1028" width="18" customWidth="1"/>
    <col min="1029" max="1029" width="17.44140625" customWidth="1"/>
    <col min="1030" max="1036" width="0" hidden="1" customWidth="1"/>
    <col min="1038" max="1038" width="0" hidden="1" customWidth="1"/>
    <col min="1281" max="1281" width="9.88671875" customWidth="1"/>
    <col min="1282" max="1282" width="58.44140625" customWidth="1"/>
    <col min="1283" max="1283" width="17" customWidth="1"/>
    <col min="1284" max="1284" width="18" customWidth="1"/>
    <col min="1285" max="1285" width="17.44140625" customWidth="1"/>
    <col min="1286" max="1292" width="0" hidden="1" customWidth="1"/>
    <col min="1294" max="1294" width="0" hidden="1" customWidth="1"/>
    <col min="1537" max="1537" width="9.88671875" customWidth="1"/>
    <col min="1538" max="1538" width="58.44140625" customWidth="1"/>
    <col min="1539" max="1539" width="17" customWidth="1"/>
    <col min="1540" max="1540" width="18" customWidth="1"/>
    <col min="1541" max="1541" width="17.44140625" customWidth="1"/>
    <col min="1542" max="1548" width="0" hidden="1" customWidth="1"/>
    <col min="1550" max="1550" width="0" hidden="1" customWidth="1"/>
    <col min="1793" max="1793" width="9.88671875" customWidth="1"/>
    <col min="1794" max="1794" width="58.44140625" customWidth="1"/>
    <col min="1795" max="1795" width="17" customWidth="1"/>
    <col min="1796" max="1796" width="18" customWidth="1"/>
    <col min="1797" max="1797" width="17.44140625" customWidth="1"/>
    <col min="1798" max="1804" width="0" hidden="1" customWidth="1"/>
    <col min="1806" max="1806" width="0" hidden="1" customWidth="1"/>
    <col min="2049" max="2049" width="9.88671875" customWidth="1"/>
    <col min="2050" max="2050" width="58.44140625" customWidth="1"/>
    <col min="2051" max="2051" width="17" customWidth="1"/>
    <col min="2052" max="2052" width="18" customWidth="1"/>
    <col min="2053" max="2053" width="17.44140625" customWidth="1"/>
    <col min="2054" max="2060" width="0" hidden="1" customWidth="1"/>
    <col min="2062" max="2062" width="0" hidden="1" customWidth="1"/>
    <col min="2305" max="2305" width="9.88671875" customWidth="1"/>
    <col min="2306" max="2306" width="58.44140625" customWidth="1"/>
    <col min="2307" max="2307" width="17" customWidth="1"/>
    <col min="2308" max="2308" width="18" customWidth="1"/>
    <col min="2309" max="2309" width="17.44140625" customWidth="1"/>
    <col min="2310" max="2316" width="0" hidden="1" customWidth="1"/>
    <col min="2318" max="2318" width="0" hidden="1" customWidth="1"/>
    <col min="2561" max="2561" width="9.88671875" customWidth="1"/>
    <col min="2562" max="2562" width="58.44140625" customWidth="1"/>
    <col min="2563" max="2563" width="17" customWidth="1"/>
    <col min="2564" max="2564" width="18" customWidth="1"/>
    <col min="2565" max="2565" width="17.44140625" customWidth="1"/>
    <col min="2566" max="2572" width="0" hidden="1" customWidth="1"/>
    <col min="2574" max="2574" width="0" hidden="1" customWidth="1"/>
    <col min="2817" max="2817" width="9.88671875" customWidth="1"/>
    <col min="2818" max="2818" width="58.44140625" customWidth="1"/>
    <col min="2819" max="2819" width="17" customWidth="1"/>
    <col min="2820" max="2820" width="18" customWidth="1"/>
    <col min="2821" max="2821" width="17.44140625" customWidth="1"/>
    <col min="2822" max="2828" width="0" hidden="1" customWidth="1"/>
    <col min="2830" max="2830" width="0" hidden="1" customWidth="1"/>
    <col min="3073" max="3073" width="9.88671875" customWidth="1"/>
    <col min="3074" max="3074" width="58.44140625" customWidth="1"/>
    <col min="3075" max="3075" width="17" customWidth="1"/>
    <col min="3076" max="3076" width="18" customWidth="1"/>
    <col min="3077" max="3077" width="17.44140625" customWidth="1"/>
    <col min="3078" max="3084" width="0" hidden="1" customWidth="1"/>
    <col min="3086" max="3086" width="0" hidden="1" customWidth="1"/>
    <col min="3329" max="3329" width="9.88671875" customWidth="1"/>
    <col min="3330" max="3330" width="58.44140625" customWidth="1"/>
    <col min="3331" max="3331" width="17" customWidth="1"/>
    <col min="3332" max="3332" width="18" customWidth="1"/>
    <col min="3333" max="3333" width="17.44140625" customWidth="1"/>
    <col min="3334" max="3340" width="0" hidden="1" customWidth="1"/>
    <col min="3342" max="3342" width="0" hidden="1" customWidth="1"/>
    <col min="3585" max="3585" width="9.88671875" customWidth="1"/>
    <col min="3586" max="3586" width="58.44140625" customWidth="1"/>
    <col min="3587" max="3587" width="17" customWidth="1"/>
    <col min="3588" max="3588" width="18" customWidth="1"/>
    <col min="3589" max="3589" width="17.44140625" customWidth="1"/>
    <col min="3590" max="3596" width="0" hidden="1" customWidth="1"/>
    <col min="3598" max="3598" width="0" hidden="1" customWidth="1"/>
    <col min="3841" max="3841" width="9.88671875" customWidth="1"/>
    <col min="3842" max="3842" width="58.44140625" customWidth="1"/>
    <col min="3843" max="3843" width="17" customWidth="1"/>
    <col min="3844" max="3844" width="18" customWidth="1"/>
    <col min="3845" max="3845" width="17.44140625" customWidth="1"/>
    <col min="3846" max="3852" width="0" hidden="1" customWidth="1"/>
    <col min="3854" max="3854" width="0" hidden="1" customWidth="1"/>
    <col min="4097" max="4097" width="9.88671875" customWidth="1"/>
    <col min="4098" max="4098" width="58.44140625" customWidth="1"/>
    <col min="4099" max="4099" width="17" customWidth="1"/>
    <col min="4100" max="4100" width="18" customWidth="1"/>
    <col min="4101" max="4101" width="17.44140625" customWidth="1"/>
    <col min="4102" max="4108" width="0" hidden="1" customWidth="1"/>
    <col min="4110" max="4110" width="0" hidden="1" customWidth="1"/>
    <col min="4353" max="4353" width="9.88671875" customWidth="1"/>
    <col min="4354" max="4354" width="58.44140625" customWidth="1"/>
    <col min="4355" max="4355" width="17" customWidth="1"/>
    <col min="4356" max="4356" width="18" customWidth="1"/>
    <col min="4357" max="4357" width="17.44140625" customWidth="1"/>
    <col min="4358" max="4364" width="0" hidden="1" customWidth="1"/>
    <col min="4366" max="4366" width="0" hidden="1" customWidth="1"/>
    <col min="4609" max="4609" width="9.88671875" customWidth="1"/>
    <col min="4610" max="4610" width="58.44140625" customWidth="1"/>
    <col min="4611" max="4611" width="17" customWidth="1"/>
    <col min="4612" max="4612" width="18" customWidth="1"/>
    <col min="4613" max="4613" width="17.44140625" customWidth="1"/>
    <col min="4614" max="4620" width="0" hidden="1" customWidth="1"/>
    <col min="4622" max="4622" width="0" hidden="1" customWidth="1"/>
    <col min="4865" max="4865" width="9.88671875" customWidth="1"/>
    <col min="4866" max="4866" width="58.44140625" customWidth="1"/>
    <col min="4867" max="4867" width="17" customWidth="1"/>
    <col min="4868" max="4868" width="18" customWidth="1"/>
    <col min="4869" max="4869" width="17.44140625" customWidth="1"/>
    <col min="4870" max="4876" width="0" hidden="1" customWidth="1"/>
    <col min="4878" max="4878" width="0" hidden="1" customWidth="1"/>
    <col min="5121" max="5121" width="9.88671875" customWidth="1"/>
    <col min="5122" max="5122" width="58.44140625" customWidth="1"/>
    <col min="5123" max="5123" width="17" customWidth="1"/>
    <col min="5124" max="5124" width="18" customWidth="1"/>
    <col min="5125" max="5125" width="17.44140625" customWidth="1"/>
    <col min="5126" max="5132" width="0" hidden="1" customWidth="1"/>
    <col min="5134" max="5134" width="0" hidden="1" customWidth="1"/>
    <col min="5377" max="5377" width="9.88671875" customWidth="1"/>
    <col min="5378" max="5378" width="58.44140625" customWidth="1"/>
    <col min="5379" max="5379" width="17" customWidth="1"/>
    <col min="5380" max="5380" width="18" customWidth="1"/>
    <col min="5381" max="5381" width="17.44140625" customWidth="1"/>
    <col min="5382" max="5388" width="0" hidden="1" customWidth="1"/>
    <col min="5390" max="5390" width="0" hidden="1" customWidth="1"/>
    <col min="5633" max="5633" width="9.88671875" customWidth="1"/>
    <col min="5634" max="5634" width="58.44140625" customWidth="1"/>
    <col min="5635" max="5635" width="17" customWidth="1"/>
    <col min="5636" max="5636" width="18" customWidth="1"/>
    <col min="5637" max="5637" width="17.44140625" customWidth="1"/>
    <col min="5638" max="5644" width="0" hidden="1" customWidth="1"/>
    <col min="5646" max="5646" width="0" hidden="1" customWidth="1"/>
    <col min="5889" max="5889" width="9.88671875" customWidth="1"/>
    <col min="5890" max="5890" width="58.44140625" customWidth="1"/>
    <col min="5891" max="5891" width="17" customWidth="1"/>
    <col min="5892" max="5892" width="18" customWidth="1"/>
    <col min="5893" max="5893" width="17.44140625" customWidth="1"/>
    <col min="5894" max="5900" width="0" hidden="1" customWidth="1"/>
    <col min="5902" max="5902" width="0" hidden="1" customWidth="1"/>
    <col min="6145" max="6145" width="9.88671875" customWidth="1"/>
    <col min="6146" max="6146" width="58.44140625" customWidth="1"/>
    <col min="6147" max="6147" width="17" customWidth="1"/>
    <col min="6148" max="6148" width="18" customWidth="1"/>
    <col min="6149" max="6149" width="17.44140625" customWidth="1"/>
    <col min="6150" max="6156" width="0" hidden="1" customWidth="1"/>
    <col min="6158" max="6158" width="0" hidden="1" customWidth="1"/>
    <col min="6401" max="6401" width="9.88671875" customWidth="1"/>
    <col min="6402" max="6402" width="58.44140625" customWidth="1"/>
    <col min="6403" max="6403" width="17" customWidth="1"/>
    <col min="6404" max="6404" width="18" customWidth="1"/>
    <col min="6405" max="6405" width="17.44140625" customWidth="1"/>
    <col min="6406" max="6412" width="0" hidden="1" customWidth="1"/>
    <col min="6414" max="6414" width="0" hidden="1" customWidth="1"/>
    <col min="6657" max="6657" width="9.88671875" customWidth="1"/>
    <col min="6658" max="6658" width="58.44140625" customWidth="1"/>
    <col min="6659" max="6659" width="17" customWidth="1"/>
    <col min="6660" max="6660" width="18" customWidth="1"/>
    <col min="6661" max="6661" width="17.44140625" customWidth="1"/>
    <col min="6662" max="6668" width="0" hidden="1" customWidth="1"/>
    <col min="6670" max="6670" width="0" hidden="1" customWidth="1"/>
    <col min="6913" max="6913" width="9.88671875" customWidth="1"/>
    <col min="6914" max="6914" width="58.44140625" customWidth="1"/>
    <col min="6915" max="6915" width="17" customWidth="1"/>
    <col min="6916" max="6916" width="18" customWidth="1"/>
    <col min="6917" max="6917" width="17.44140625" customWidth="1"/>
    <col min="6918" max="6924" width="0" hidden="1" customWidth="1"/>
    <col min="6926" max="6926" width="0" hidden="1" customWidth="1"/>
    <col min="7169" max="7169" width="9.88671875" customWidth="1"/>
    <col min="7170" max="7170" width="58.44140625" customWidth="1"/>
    <col min="7171" max="7171" width="17" customWidth="1"/>
    <col min="7172" max="7172" width="18" customWidth="1"/>
    <col min="7173" max="7173" width="17.44140625" customWidth="1"/>
    <col min="7174" max="7180" width="0" hidden="1" customWidth="1"/>
    <col min="7182" max="7182" width="0" hidden="1" customWidth="1"/>
    <col min="7425" max="7425" width="9.88671875" customWidth="1"/>
    <col min="7426" max="7426" width="58.44140625" customWidth="1"/>
    <col min="7427" max="7427" width="17" customWidth="1"/>
    <col min="7428" max="7428" width="18" customWidth="1"/>
    <col min="7429" max="7429" width="17.44140625" customWidth="1"/>
    <col min="7430" max="7436" width="0" hidden="1" customWidth="1"/>
    <col min="7438" max="7438" width="0" hidden="1" customWidth="1"/>
    <col min="7681" max="7681" width="9.88671875" customWidth="1"/>
    <col min="7682" max="7682" width="58.44140625" customWidth="1"/>
    <col min="7683" max="7683" width="17" customWidth="1"/>
    <col min="7684" max="7684" width="18" customWidth="1"/>
    <col min="7685" max="7685" width="17.44140625" customWidth="1"/>
    <col min="7686" max="7692" width="0" hidden="1" customWidth="1"/>
    <col min="7694" max="7694" width="0" hidden="1" customWidth="1"/>
    <col min="7937" max="7937" width="9.88671875" customWidth="1"/>
    <col min="7938" max="7938" width="58.44140625" customWidth="1"/>
    <col min="7939" max="7939" width="17" customWidth="1"/>
    <col min="7940" max="7940" width="18" customWidth="1"/>
    <col min="7941" max="7941" width="17.44140625" customWidth="1"/>
    <col min="7942" max="7948" width="0" hidden="1" customWidth="1"/>
    <col min="7950" max="7950" width="0" hidden="1" customWidth="1"/>
    <col min="8193" max="8193" width="9.88671875" customWidth="1"/>
    <col min="8194" max="8194" width="58.44140625" customWidth="1"/>
    <col min="8195" max="8195" width="17" customWidth="1"/>
    <col min="8196" max="8196" width="18" customWidth="1"/>
    <col min="8197" max="8197" width="17.44140625" customWidth="1"/>
    <col min="8198" max="8204" width="0" hidden="1" customWidth="1"/>
    <col min="8206" max="8206" width="0" hidden="1" customWidth="1"/>
    <col min="8449" max="8449" width="9.88671875" customWidth="1"/>
    <col min="8450" max="8450" width="58.44140625" customWidth="1"/>
    <col min="8451" max="8451" width="17" customWidth="1"/>
    <col min="8452" max="8452" width="18" customWidth="1"/>
    <col min="8453" max="8453" width="17.44140625" customWidth="1"/>
    <col min="8454" max="8460" width="0" hidden="1" customWidth="1"/>
    <col min="8462" max="8462" width="0" hidden="1" customWidth="1"/>
    <col min="8705" max="8705" width="9.88671875" customWidth="1"/>
    <col min="8706" max="8706" width="58.44140625" customWidth="1"/>
    <col min="8707" max="8707" width="17" customWidth="1"/>
    <col min="8708" max="8708" width="18" customWidth="1"/>
    <col min="8709" max="8709" width="17.44140625" customWidth="1"/>
    <col min="8710" max="8716" width="0" hidden="1" customWidth="1"/>
    <col min="8718" max="8718" width="0" hidden="1" customWidth="1"/>
    <col min="8961" max="8961" width="9.88671875" customWidth="1"/>
    <col min="8962" max="8962" width="58.44140625" customWidth="1"/>
    <col min="8963" max="8963" width="17" customWidth="1"/>
    <col min="8964" max="8964" width="18" customWidth="1"/>
    <col min="8965" max="8965" width="17.44140625" customWidth="1"/>
    <col min="8966" max="8972" width="0" hidden="1" customWidth="1"/>
    <col min="8974" max="8974" width="0" hidden="1" customWidth="1"/>
    <col min="9217" max="9217" width="9.88671875" customWidth="1"/>
    <col min="9218" max="9218" width="58.44140625" customWidth="1"/>
    <col min="9219" max="9219" width="17" customWidth="1"/>
    <col min="9220" max="9220" width="18" customWidth="1"/>
    <col min="9221" max="9221" width="17.44140625" customWidth="1"/>
    <col min="9222" max="9228" width="0" hidden="1" customWidth="1"/>
    <col min="9230" max="9230" width="0" hidden="1" customWidth="1"/>
    <col min="9473" max="9473" width="9.88671875" customWidth="1"/>
    <col min="9474" max="9474" width="58.44140625" customWidth="1"/>
    <col min="9475" max="9475" width="17" customWidth="1"/>
    <col min="9476" max="9476" width="18" customWidth="1"/>
    <col min="9477" max="9477" width="17.44140625" customWidth="1"/>
    <col min="9478" max="9484" width="0" hidden="1" customWidth="1"/>
    <col min="9486" max="9486" width="0" hidden="1" customWidth="1"/>
    <col min="9729" max="9729" width="9.88671875" customWidth="1"/>
    <col min="9730" max="9730" width="58.44140625" customWidth="1"/>
    <col min="9731" max="9731" width="17" customWidth="1"/>
    <col min="9732" max="9732" width="18" customWidth="1"/>
    <col min="9733" max="9733" width="17.44140625" customWidth="1"/>
    <col min="9734" max="9740" width="0" hidden="1" customWidth="1"/>
    <col min="9742" max="9742" width="0" hidden="1" customWidth="1"/>
    <col min="9985" max="9985" width="9.88671875" customWidth="1"/>
    <col min="9986" max="9986" width="58.44140625" customWidth="1"/>
    <col min="9987" max="9987" width="17" customWidth="1"/>
    <col min="9988" max="9988" width="18" customWidth="1"/>
    <col min="9989" max="9989" width="17.44140625" customWidth="1"/>
    <col min="9990" max="9996" width="0" hidden="1" customWidth="1"/>
    <col min="9998" max="9998" width="0" hidden="1" customWidth="1"/>
    <col min="10241" max="10241" width="9.88671875" customWidth="1"/>
    <col min="10242" max="10242" width="58.44140625" customWidth="1"/>
    <col min="10243" max="10243" width="17" customWidth="1"/>
    <col min="10244" max="10244" width="18" customWidth="1"/>
    <col min="10245" max="10245" width="17.44140625" customWidth="1"/>
    <col min="10246" max="10252" width="0" hidden="1" customWidth="1"/>
    <col min="10254" max="10254" width="0" hidden="1" customWidth="1"/>
    <col min="10497" max="10497" width="9.88671875" customWidth="1"/>
    <col min="10498" max="10498" width="58.44140625" customWidth="1"/>
    <col min="10499" max="10499" width="17" customWidth="1"/>
    <col min="10500" max="10500" width="18" customWidth="1"/>
    <col min="10501" max="10501" width="17.44140625" customWidth="1"/>
    <col min="10502" max="10508" width="0" hidden="1" customWidth="1"/>
    <col min="10510" max="10510" width="0" hidden="1" customWidth="1"/>
    <col min="10753" max="10753" width="9.88671875" customWidth="1"/>
    <col min="10754" max="10754" width="58.44140625" customWidth="1"/>
    <col min="10755" max="10755" width="17" customWidth="1"/>
    <col min="10756" max="10756" width="18" customWidth="1"/>
    <col min="10757" max="10757" width="17.44140625" customWidth="1"/>
    <col min="10758" max="10764" width="0" hidden="1" customWidth="1"/>
    <col min="10766" max="10766" width="0" hidden="1" customWidth="1"/>
    <col min="11009" max="11009" width="9.88671875" customWidth="1"/>
    <col min="11010" max="11010" width="58.44140625" customWidth="1"/>
    <col min="11011" max="11011" width="17" customWidth="1"/>
    <col min="11012" max="11012" width="18" customWidth="1"/>
    <col min="11013" max="11013" width="17.44140625" customWidth="1"/>
    <col min="11014" max="11020" width="0" hidden="1" customWidth="1"/>
    <col min="11022" max="11022" width="0" hidden="1" customWidth="1"/>
    <col min="11265" max="11265" width="9.88671875" customWidth="1"/>
    <col min="11266" max="11266" width="58.44140625" customWidth="1"/>
    <col min="11267" max="11267" width="17" customWidth="1"/>
    <col min="11268" max="11268" width="18" customWidth="1"/>
    <col min="11269" max="11269" width="17.44140625" customWidth="1"/>
    <col min="11270" max="11276" width="0" hidden="1" customWidth="1"/>
    <col min="11278" max="11278" width="0" hidden="1" customWidth="1"/>
    <col min="11521" max="11521" width="9.88671875" customWidth="1"/>
    <col min="11522" max="11522" width="58.44140625" customWidth="1"/>
    <col min="11523" max="11523" width="17" customWidth="1"/>
    <col min="11524" max="11524" width="18" customWidth="1"/>
    <col min="11525" max="11525" width="17.44140625" customWidth="1"/>
    <col min="11526" max="11532" width="0" hidden="1" customWidth="1"/>
    <col min="11534" max="11534" width="0" hidden="1" customWidth="1"/>
    <col min="11777" max="11777" width="9.88671875" customWidth="1"/>
    <col min="11778" max="11778" width="58.44140625" customWidth="1"/>
    <col min="11779" max="11779" width="17" customWidth="1"/>
    <col min="11780" max="11780" width="18" customWidth="1"/>
    <col min="11781" max="11781" width="17.44140625" customWidth="1"/>
    <col min="11782" max="11788" width="0" hidden="1" customWidth="1"/>
    <col min="11790" max="11790" width="0" hidden="1" customWidth="1"/>
    <col min="12033" max="12033" width="9.88671875" customWidth="1"/>
    <col min="12034" max="12034" width="58.44140625" customWidth="1"/>
    <col min="12035" max="12035" width="17" customWidth="1"/>
    <col min="12036" max="12036" width="18" customWidth="1"/>
    <col min="12037" max="12037" width="17.44140625" customWidth="1"/>
    <col min="12038" max="12044" width="0" hidden="1" customWidth="1"/>
    <col min="12046" max="12046" width="0" hidden="1" customWidth="1"/>
    <col min="12289" max="12289" width="9.88671875" customWidth="1"/>
    <col min="12290" max="12290" width="58.44140625" customWidth="1"/>
    <col min="12291" max="12291" width="17" customWidth="1"/>
    <col min="12292" max="12292" width="18" customWidth="1"/>
    <col min="12293" max="12293" width="17.44140625" customWidth="1"/>
    <col min="12294" max="12300" width="0" hidden="1" customWidth="1"/>
    <col min="12302" max="12302" width="0" hidden="1" customWidth="1"/>
    <col min="12545" max="12545" width="9.88671875" customWidth="1"/>
    <col min="12546" max="12546" width="58.44140625" customWidth="1"/>
    <col min="12547" max="12547" width="17" customWidth="1"/>
    <col min="12548" max="12548" width="18" customWidth="1"/>
    <col min="12549" max="12549" width="17.44140625" customWidth="1"/>
    <col min="12550" max="12556" width="0" hidden="1" customWidth="1"/>
    <col min="12558" max="12558" width="0" hidden="1" customWidth="1"/>
    <col min="12801" max="12801" width="9.88671875" customWidth="1"/>
    <col min="12802" max="12802" width="58.44140625" customWidth="1"/>
    <col min="12803" max="12803" width="17" customWidth="1"/>
    <col min="12804" max="12804" width="18" customWidth="1"/>
    <col min="12805" max="12805" width="17.44140625" customWidth="1"/>
    <col min="12806" max="12812" width="0" hidden="1" customWidth="1"/>
    <col min="12814" max="12814" width="0" hidden="1" customWidth="1"/>
    <col min="13057" max="13057" width="9.88671875" customWidth="1"/>
    <col min="13058" max="13058" width="58.44140625" customWidth="1"/>
    <col min="13059" max="13059" width="17" customWidth="1"/>
    <col min="13060" max="13060" width="18" customWidth="1"/>
    <col min="13061" max="13061" width="17.44140625" customWidth="1"/>
    <col min="13062" max="13068" width="0" hidden="1" customWidth="1"/>
    <col min="13070" max="13070" width="0" hidden="1" customWidth="1"/>
    <col min="13313" max="13313" width="9.88671875" customWidth="1"/>
    <col min="13314" max="13314" width="58.44140625" customWidth="1"/>
    <col min="13315" max="13315" width="17" customWidth="1"/>
    <col min="13316" max="13316" width="18" customWidth="1"/>
    <col min="13317" max="13317" width="17.44140625" customWidth="1"/>
    <col min="13318" max="13324" width="0" hidden="1" customWidth="1"/>
    <col min="13326" max="13326" width="0" hidden="1" customWidth="1"/>
    <col min="13569" max="13569" width="9.88671875" customWidth="1"/>
    <col min="13570" max="13570" width="58.44140625" customWidth="1"/>
    <col min="13571" max="13571" width="17" customWidth="1"/>
    <col min="13572" max="13572" width="18" customWidth="1"/>
    <col min="13573" max="13573" width="17.44140625" customWidth="1"/>
    <col min="13574" max="13580" width="0" hidden="1" customWidth="1"/>
    <col min="13582" max="13582" width="0" hidden="1" customWidth="1"/>
    <col min="13825" max="13825" width="9.88671875" customWidth="1"/>
    <col min="13826" max="13826" width="58.44140625" customWidth="1"/>
    <col min="13827" max="13827" width="17" customWidth="1"/>
    <col min="13828" max="13828" width="18" customWidth="1"/>
    <col min="13829" max="13829" width="17.44140625" customWidth="1"/>
    <col min="13830" max="13836" width="0" hidden="1" customWidth="1"/>
    <col min="13838" max="13838" width="0" hidden="1" customWidth="1"/>
    <col min="14081" max="14081" width="9.88671875" customWidth="1"/>
    <col min="14082" max="14082" width="58.44140625" customWidth="1"/>
    <col min="14083" max="14083" width="17" customWidth="1"/>
    <col min="14084" max="14084" width="18" customWidth="1"/>
    <col min="14085" max="14085" width="17.44140625" customWidth="1"/>
    <col min="14086" max="14092" width="0" hidden="1" customWidth="1"/>
    <col min="14094" max="14094" width="0" hidden="1" customWidth="1"/>
    <col min="14337" max="14337" width="9.88671875" customWidth="1"/>
    <col min="14338" max="14338" width="58.44140625" customWidth="1"/>
    <col min="14339" max="14339" width="17" customWidth="1"/>
    <col min="14340" max="14340" width="18" customWidth="1"/>
    <col min="14341" max="14341" width="17.44140625" customWidth="1"/>
    <col min="14342" max="14348" width="0" hidden="1" customWidth="1"/>
    <col min="14350" max="14350" width="0" hidden="1" customWidth="1"/>
    <col min="14593" max="14593" width="9.88671875" customWidth="1"/>
    <col min="14594" max="14594" width="58.44140625" customWidth="1"/>
    <col min="14595" max="14595" width="17" customWidth="1"/>
    <col min="14596" max="14596" width="18" customWidth="1"/>
    <col min="14597" max="14597" width="17.44140625" customWidth="1"/>
    <col min="14598" max="14604" width="0" hidden="1" customWidth="1"/>
    <col min="14606" max="14606" width="0" hidden="1" customWidth="1"/>
    <col min="14849" max="14849" width="9.88671875" customWidth="1"/>
    <col min="14850" max="14850" width="58.44140625" customWidth="1"/>
    <col min="14851" max="14851" width="17" customWidth="1"/>
    <col min="14852" max="14852" width="18" customWidth="1"/>
    <col min="14853" max="14853" width="17.44140625" customWidth="1"/>
    <col min="14854" max="14860" width="0" hidden="1" customWidth="1"/>
    <col min="14862" max="14862" width="0" hidden="1" customWidth="1"/>
    <col min="15105" max="15105" width="9.88671875" customWidth="1"/>
    <col min="15106" max="15106" width="58.44140625" customWidth="1"/>
    <col min="15107" max="15107" width="17" customWidth="1"/>
    <col min="15108" max="15108" width="18" customWidth="1"/>
    <col min="15109" max="15109" width="17.44140625" customWidth="1"/>
    <col min="15110" max="15116" width="0" hidden="1" customWidth="1"/>
    <col min="15118" max="15118" width="0" hidden="1" customWidth="1"/>
    <col min="15361" max="15361" width="9.88671875" customWidth="1"/>
    <col min="15362" max="15362" width="58.44140625" customWidth="1"/>
    <col min="15363" max="15363" width="17" customWidth="1"/>
    <col min="15364" max="15364" width="18" customWidth="1"/>
    <col min="15365" max="15365" width="17.44140625" customWidth="1"/>
    <col min="15366" max="15372" width="0" hidden="1" customWidth="1"/>
    <col min="15374" max="15374" width="0" hidden="1" customWidth="1"/>
    <col min="15617" max="15617" width="9.88671875" customWidth="1"/>
    <col min="15618" max="15618" width="58.44140625" customWidth="1"/>
    <col min="15619" max="15619" width="17" customWidth="1"/>
    <col min="15620" max="15620" width="18" customWidth="1"/>
    <col min="15621" max="15621" width="17.44140625" customWidth="1"/>
    <col min="15622" max="15628" width="0" hidden="1" customWidth="1"/>
    <col min="15630" max="15630" width="0" hidden="1" customWidth="1"/>
    <col min="15873" max="15873" width="9.88671875" customWidth="1"/>
    <col min="15874" max="15874" width="58.44140625" customWidth="1"/>
    <col min="15875" max="15875" width="17" customWidth="1"/>
    <col min="15876" max="15876" width="18" customWidth="1"/>
    <col min="15877" max="15877" width="17.44140625" customWidth="1"/>
    <col min="15878" max="15884" width="0" hidden="1" customWidth="1"/>
    <col min="15886" max="15886" width="0" hidden="1" customWidth="1"/>
    <col min="16129" max="16129" width="9.88671875" customWidth="1"/>
    <col min="16130" max="16130" width="58.44140625" customWidth="1"/>
    <col min="16131" max="16131" width="17" customWidth="1"/>
    <col min="16132" max="16132" width="18" customWidth="1"/>
    <col min="16133" max="16133" width="17.44140625" customWidth="1"/>
    <col min="16134" max="16140" width="0" hidden="1" customWidth="1"/>
    <col min="16142" max="16142" width="0" hidden="1" customWidth="1"/>
  </cols>
  <sheetData>
    <row r="1" spans="1:15" s="159" customFormat="1" ht="15.6" x14ac:dyDescent="0.3">
      <c r="A1" s="1"/>
      <c r="B1" s="1"/>
      <c r="C1" s="222" t="s">
        <v>656</v>
      </c>
      <c r="D1" s="223"/>
      <c r="E1" s="223"/>
      <c r="F1" s="2"/>
    </row>
    <row r="2" spans="1:15" s="159" customFormat="1" ht="18" x14ac:dyDescent="0.35">
      <c r="A2" s="1"/>
      <c r="B2" s="3"/>
      <c r="C2" s="4" t="s">
        <v>657</v>
      </c>
      <c r="D2" s="223"/>
      <c r="E2" s="223"/>
      <c r="F2" s="2"/>
    </row>
    <row r="3" spans="1:15" s="159" customFormat="1" ht="18" x14ac:dyDescent="0.35">
      <c r="A3" s="1"/>
      <c r="B3" s="3"/>
      <c r="C3" s="4" t="s">
        <v>852</v>
      </c>
      <c r="D3" s="223"/>
      <c r="E3" s="223"/>
      <c r="F3" s="2"/>
    </row>
    <row r="4" spans="1:15" s="159" customFormat="1" ht="15.6" x14ac:dyDescent="0.3">
      <c r="A4" s="1"/>
      <c r="B4" s="1"/>
      <c r="C4" s="5" t="s">
        <v>658</v>
      </c>
      <c r="D4" s="224"/>
      <c r="E4" s="223"/>
      <c r="F4" s="2"/>
    </row>
    <row r="5" spans="1:15" s="159" customFormat="1" ht="15.6" x14ac:dyDescent="0.3">
      <c r="A5" s="1"/>
      <c r="B5" s="1"/>
      <c r="C5" s="5" t="s">
        <v>1463</v>
      </c>
      <c r="D5" s="224"/>
      <c r="E5" s="223"/>
      <c r="F5" s="2"/>
    </row>
    <row r="6" spans="1:15" s="159" customFormat="1" ht="15.6" x14ac:dyDescent="0.3">
      <c r="A6" s="1"/>
      <c r="B6" s="1"/>
      <c r="C6" s="5"/>
      <c r="D6" s="224"/>
      <c r="E6" s="223"/>
      <c r="F6" s="2"/>
    </row>
    <row r="7" spans="1:15" s="159" customFormat="1" ht="15.6" x14ac:dyDescent="0.2">
      <c r="A7" s="1302" t="s">
        <v>659</v>
      </c>
      <c r="B7" s="1302"/>
      <c r="C7" s="1302"/>
      <c r="D7" s="1302"/>
      <c r="E7" s="1302"/>
      <c r="F7" s="1302"/>
    </row>
    <row r="8" spans="1:15" s="159" customFormat="1" ht="17.399999999999999" x14ac:dyDescent="0.2">
      <c r="A8" s="1298" t="s">
        <v>1164</v>
      </c>
      <c r="B8" s="1298"/>
      <c r="C8" s="1298"/>
      <c r="D8" s="1298"/>
      <c r="E8" s="1298"/>
      <c r="F8" s="2"/>
    </row>
    <row r="9" spans="1:15" s="159" customFormat="1" ht="15.6" x14ac:dyDescent="0.2">
      <c r="A9" s="6"/>
      <c r="B9" s="225">
        <v>1150300000</v>
      </c>
      <c r="C9" s="6"/>
      <c r="D9" s="6"/>
      <c r="E9" s="6"/>
      <c r="F9" s="2"/>
    </row>
    <row r="10" spans="1:15" s="159" customFormat="1" ht="16.2" thickBot="1" x14ac:dyDescent="0.25">
      <c r="A10" s="6"/>
      <c r="B10" s="226" t="s">
        <v>252</v>
      </c>
      <c r="C10" s="6"/>
      <c r="D10" s="6"/>
      <c r="E10" s="6"/>
      <c r="F10" s="2"/>
    </row>
    <row r="11" spans="1:15" s="159" customFormat="1" ht="16.2" thickBot="1" x14ac:dyDescent="0.25">
      <c r="A11" s="1287" t="s">
        <v>256</v>
      </c>
      <c r="B11" s="1289" t="s">
        <v>257</v>
      </c>
      <c r="C11" s="1291" t="s">
        <v>246</v>
      </c>
      <c r="D11" s="1293" t="s">
        <v>245</v>
      </c>
      <c r="E11" s="1295" t="s">
        <v>244</v>
      </c>
      <c r="F11" s="1296"/>
    </row>
    <row r="12" spans="1:15" s="159" customFormat="1" ht="63" thickBot="1" x14ac:dyDescent="0.25">
      <c r="A12" s="1288"/>
      <c r="B12" s="1303"/>
      <c r="C12" s="1292"/>
      <c r="D12" s="1294"/>
      <c r="E12" s="227" t="s">
        <v>246</v>
      </c>
      <c r="F12" s="219" t="s">
        <v>242</v>
      </c>
    </row>
    <row r="13" spans="1:15" s="159" customFormat="1" ht="16.2" thickBot="1" x14ac:dyDescent="0.25">
      <c r="A13" s="409">
        <v>1</v>
      </c>
      <c r="B13" s="410">
        <v>2</v>
      </c>
      <c r="C13" s="228">
        <v>3</v>
      </c>
      <c r="D13" s="228">
        <v>4</v>
      </c>
      <c r="E13" s="228">
        <v>5</v>
      </c>
      <c r="F13" s="229">
        <v>6</v>
      </c>
      <c r="O13" s="6"/>
    </row>
    <row r="14" spans="1:15" s="9" customFormat="1" ht="16.2" hidden="1" thickBot="1" x14ac:dyDescent="0.3">
      <c r="A14" s="230" t="s">
        <v>258</v>
      </c>
      <c r="B14" s="7" t="s">
        <v>259</v>
      </c>
      <c r="C14" s="684">
        <f>C15+C30+C38+C57+C25</f>
        <v>0</v>
      </c>
      <c r="D14" s="684">
        <f>D15+D30+D38+D57+D25</f>
        <v>0</v>
      </c>
      <c r="E14" s="684">
        <f>E57</f>
        <v>0</v>
      </c>
      <c r="F14" s="685">
        <f>F57</f>
        <v>0</v>
      </c>
      <c r="G14" s="8"/>
    </row>
    <row r="15" spans="1:15" s="9" customFormat="1" ht="31.2" hidden="1" x14ac:dyDescent="0.25">
      <c r="A15" s="231" t="s">
        <v>260</v>
      </c>
      <c r="B15" s="10" t="s">
        <v>261</v>
      </c>
      <c r="C15" s="742">
        <f>C16+C23</f>
        <v>0</v>
      </c>
      <c r="D15" s="742">
        <f>D16+D23</f>
        <v>0</v>
      </c>
      <c r="E15" s="742">
        <f>E16</f>
        <v>0</v>
      </c>
      <c r="F15" s="738">
        <f>F16</f>
        <v>0</v>
      </c>
    </row>
    <row r="16" spans="1:15" s="9" customFormat="1" ht="15.6" hidden="1" x14ac:dyDescent="0.25">
      <c r="A16" s="232" t="s">
        <v>262</v>
      </c>
      <c r="B16" s="11" t="s">
        <v>263</v>
      </c>
      <c r="C16" s="737">
        <f>C17+C18+C19+C20+C21+C22</f>
        <v>0</v>
      </c>
      <c r="D16" s="737">
        <f>D17+D18+D19+D20+D21+D22</f>
        <v>0</v>
      </c>
      <c r="E16" s="737">
        <f>E17+E18+E19+E20+E21</f>
        <v>0</v>
      </c>
      <c r="F16" s="761">
        <f>F17+F18+F19+F20+F21</f>
        <v>0</v>
      </c>
      <c r="M16" s="12"/>
    </row>
    <row r="17" spans="1:15" ht="42" hidden="1" customHeight="1" x14ac:dyDescent="0.3">
      <c r="A17" s="233" t="s">
        <v>264</v>
      </c>
      <c r="B17" s="13" t="s">
        <v>265</v>
      </c>
      <c r="C17" s="692">
        <f t="shared" ref="C17:C24" si="0">D17+E17</f>
        <v>0</v>
      </c>
      <c r="D17" s="789"/>
      <c r="E17" s="692">
        <v>0</v>
      </c>
      <c r="F17" s="762">
        <v>0</v>
      </c>
      <c r="G17" s="15"/>
      <c r="H17" s="15"/>
      <c r="I17" s="15"/>
      <c r="J17" s="15"/>
      <c r="K17" s="15"/>
      <c r="L17" s="15"/>
      <c r="M17" s="16"/>
      <c r="N17" s="15"/>
      <c r="O17" s="15"/>
    </row>
    <row r="18" spans="1:15" ht="62.4" hidden="1" x14ac:dyDescent="0.3">
      <c r="A18" s="233" t="s">
        <v>266</v>
      </c>
      <c r="B18" s="13" t="s">
        <v>267</v>
      </c>
      <c r="C18" s="692">
        <f t="shared" si="0"/>
        <v>0</v>
      </c>
      <c r="D18" s="692"/>
      <c r="E18" s="692">
        <v>0</v>
      </c>
      <c r="F18" s="762">
        <v>0</v>
      </c>
      <c r="G18" s="15"/>
      <c r="H18" s="15"/>
      <c r="I18" s="15"/>
      <c r="J18" s="15"/>
      <c r="K18" s="15"/>
      <c r="L18" s="15"/>
      <c r="M18" s="16"/>
      <c r="N18" s="15"/>
      <c r="O18" s="15"/>
    </row>
    <row r="19" spans="1:15" ht="39.75" hidden="1" customHeight="1" x14ac:dyDescent="0.3">
      <c r="A19" s="233" t="s">
        <v>268</v>
      </c>
      <c r="B19" s="13" t="s">
        <v>269</v>
      </c>
      <c r="C19" s="692">
        <f t="shared" si="0"/>
        <v>0</v>
      </c>
      <c r="D19" s="692"/>
      <c r="E19" s="692">
        <v>0</v>
      </c>
      <c r="F19" s="762">
        <v>0</v>
      </c>
      <c r="G19" s="15"/>
      <c r="H19" s="15"/>
      <c r="I19" s="15"/>
      <c r="J19" s="15"/>
      <c r="K19" s="15"/>
      <c r="L19" s="15"/>
      <c r="M19" s="16"/>
    </row>
    <row r="20" spans="1:15" ht="35.25" hidden="1" customHeight="1" x14ac:dyDescent="0.3">
      <c r="A20" s="233" t="s">
        <v>270</v>
      </c>
      <c r="B20" s="13" t="s">
        <v>271</v>
      </c>
      <c r="C20" s="692">
        <f t="shared" si="0"/>
        <v>0</v>
      </c>
      <c r="D20" s="692"/>
      <c r="E20" s="692">
        <v>0</v>
      </c>
      <c r="F20" s="762">
        <v>0</v>
      </c>
      <c r="G20" s="15"/>
      <c r="H20" s="15"/>
      <c r="I20" s="15"/>
      <c r="J20" s="15"/>
      <c r="K20" s="15"/>
      <c r="L20" s="15"/>
      <c r="M20" s="16"/>
    </row>
    <row r="21" spans="1:15" ht="62.4" hidden="1" x14ac:dyDescent="0.3">
      <c r="A21" s="233" t="s">
        <v>660</v>
      </c>
      <c r="B21" s="13" t="s">
        <v>661</v>
      </c>
      <c r="C21" s="692">
        <f t="shared" si="0"/>
        <v>0</v>
      </c>
      <c r="D21" s="692"/>
      <c r="E21" s="692">
        <v>0</v>
      </c>
      <c r="F21" s="762">
        <v>0</v>
      </c>
      <c r="G21" s="15"/>
      <c r="H21" s="15"/>
      <c r="I21" s="15"/>
      <c r="J21" s="15"/>
      <c r="K21" s="15"/>
      <c r="L21" s="15"/>
      <c r="M21" s="16"/>
    </row>
    <row r="22" spans="1:15" ht="42" hidden="1" customHeight="1" x14ac:dyDescent="0.3">
      <c r="A22" s="233">
        <v>11011300</v>
      </c>
      <c r="B22" s="13" t="s">
        <v>615</v>
      </c>
      <c r="C22" s="692">
        <f t="shared" si="0"/>
        <v>0</v>
      </c>
      <c r="D22" s="692"/>
      <c r="E22" s="692"/>
      <c r="F22" s="762"/>
      <c r="G22" s="15"/>
      <c r="H22" s="15"/>
      <c r="I22" s="15"/>
      <c r="J22" s="15"/>
      <c r="K22" s="15"/>
      <c r="L22" s="15"/>
      <c r="M22" s="16"/>
    </row>
    <row r="23" spans="1:15" s="9" customFormat="1" ht="15.6" hidden="1" x14ac:dyDescent="0.25">
      <c r="A23" s="232">
        <v>11020000</v>
      </c>
      <c r="B23" s="11" t="s">
        <v>272</v>
      </c>
      <c r="C23" s="737">
        <f t="shared" si="0"/>
        <v>0</v>
      </c>
      <c r="D23" s="737">
        <f>D24</f>
        <v>0</v>
      </c>
      <c r="E23" s="737"/>
      <c r="F23" s="761">
        <v>0</v>
      </c>
      <c r="M23" s="16"/>
    </row>
    <row r="24" spans="1:15" ht="31.2" hidden="1" x14ac:dyDescent="0.3">
      <c r="A24" s="233">
        <v>11020200</v>
      </c>
      <c r="B24" s="13" t="s">
        <v>273</v>
      </c>
      <c r="C24" s="692">
        <f t="shared" si="0"/>
        <v>0</v>
      </c>
      <c r="D24" s="692"/>
      <c r="E24" s="692"/>
      <c r="F24" s="762">
        <v>0</v>
      </c>
      <c r="G24" s="15"/>
      <c r="H24" s="15"/>
      <c r="I24" s="15"/>
      <c r="J24" s="15"/>
      <c r="K24" s="15"/>
      <c r="L24" s="15"/>
      <c r="M24" s="16"/>
    </row>
    <row r="25" spans="1:15" s="9" customFormat="1" ht="31.2" hidden="1" x14ac:dyDescent="0.25">
      <c r="A25" s="232">
        <v>13000000</v>
      </c>
      <c r="B25" s="11" t="s">
        <v>274</v>
      </c>
      <c r="C25" s="737">
        <f>C26+C28</f>
        <v>0</v>
      </c>
      <c r="D25" s="737">
        <f>D26+D28</f>
        <v>0</v>
      </c>
      <c r="E25" s="737"/>
      <c r="F25" s="761">
        <v>0</v>
      </c>
      <c r="M25" s="16"/>
    </row>
    <row r="26" spans="1:15" s="9" customFormat="1" ht="31.2" hidden="1" x14ac:dyDescent="0.25">
      <c r="A26" s="232">
        <v>13010000</v>
      </c>
      <c r="B26" s="11" t="s">
        <v>275</v>
      </c>
      <c r="C26" s="737">
        <f>C27</f>
        <v>0</v>
      </c>
      <c r="D26" s="737">
        <f>D27</f>
        <v>0</v>
      </c>
      <c r="E26" s="737"/>
      <c r="F26" s="761">
        <v>0</v>
      </c>
      <c r="M26" s="16"/>
    </row>
    <row r="27" spans="1:15" ht="62.4" hidden="1" x14ac:dyDescent="0.3">
      <c r="A27" s="233">
        <v>13010200</v>
      </c>
      <c r="B27" s="13" t="s">
        <v>276</v>
      </c>
      <c r="C27" s="692">
        <f>D27+E27</f>
        <v>0</v>
      </c>
      <c r="D27" s="692">
        <v>0</v>
      </c>
      <c r="E27" s="692"/>
      <c r="F27" s="762">
        <v>0</v>
      </c>
      <c r="G27" s="15"/>
      <c r="H27" s="15"/>
      <c r="I27" s="15"/>
      <c r="J27" s="15"/>
      <c r="K27" s="15"/>
      <c r="L27" s="15"/>
      <c r="M27" s="16"/>
    </row>
    <row r="28" spans="1:15" s="9" customFormat="1" ht="31.2" hidden="1" x14ac:dyDescent="0.25">
      <c r="A28" s="232">
        <v>13030000</v>
      </c>
      <c r="B28" s="11" t="s">
        <v>277</v>
      </c>
      <c r="C28" s="737">
        <f>C29</f>
        <v>0</v>
      </c>
      <c r="D28" s="737">
        <f>D29</f>
        <v>0</v>
      </c>
      <c r="E28" s="737"/>
      <c r="F28" s="761">
        <v>0</v>
      </c>
      <c r="M28" s="16"/>
    </row>
    <row r="29" spans="1:15" ht="31.2" hidden="1" x14ac:dyDescent="0.3">
      <c r="A29" s="233">
        <v>13030100</v>
      </c>
      <c r="B29" s="13" t="s">
        <v>278</v>
      </c>
      <c r="C29" s="692">
        <f>D29+E29</f>
        <v>0</v>
      </c>
      <c r="D29" s="692"/>
      <c r="E29" s="692">
        <v>0</v>
      </c>
      <c r="F29" s="762">
        <v>0</v>
      </c>
      <c r="G29" s="15"/>
      <c r="H29" s="15"/>
      <c r="I29" s="15"/>
      <c r="J29" s="15"/>
      <c r="K29" s="15"/>
      <c r="L29" s="15"/>
      <c r="M29" s="16"/>
    </row>
    <row r="30" spans="1:15" s="9" customFormat="1" ht="15.6" hidden="1" x14ac:dyDescent="0.25">
      <c r="A30" s="232" t="s">
        <v>279</v>
      </c>
      <c r="B30" s="11" t="s">
        <v>280</v>
      </c>
      <c r="C30" s="737">
        <f>C31+C33+C35</f>
        <v>0</v>
      </c>
      <c r="D30" s="737">
        <f>D31+D33+D35</f>
        <v>0</v>
      </c>
      <c r="E30" s="737">
        <f>E31+E33+E35</f>
        <v>0</v>
      </c>
      <c r="F30" s="761">
        <v>0</v>
      </c>
      <c r="M30" s="16"/>
    </row>
    <row r="31" spans="1:15" s="9" customFormat="1" ht="31.2" hidden="1" x14ac:dyDescent="0.25">
      <c r="A31" s="232" t="s">
        <v>281</v>
      </c>
      <c r="B31" s="11" t="s">
        <v>282</v>
      </c>
      <c r="C31" s="737">
        <f>C32</f>
        <v>0</v>
      </c>
      <c r="D31" s="737">
        <f>D32</f>
        <v>0</v>
      </c>
      <c r="E31" s="737">
        <f>E32</f>
        <v>0</v>
      </c>
      <c r="F31" s="761">
        <v>0</v>
      </c>
      <c r="M31" s="16"/>
    </row>
    <row r="32" spans="1:15" ht="15.6" hidden="1" x14ac:dyDescent="0.3">
      <c r="A32" s="233" t="s">
        <v>283</v>
      </c>
      <c r="B32" s="13" t="s">
        <v>284</v>
      </c>
      <c r="C32" s="692">
        <f>D32+E32</f>
        <v>0</v>
      </c>
      <c r="D32" s="692"/>
      <c r="E32" s="692">
        <v>0</v>
      </c>
      <c r="F32" s="762">
        <v>0</v>
      </c>
      <c r="G32" s="15"/>
      <c r="H32" s="15"/>
      <c r="I32" s="15"/>
      <c r="J32" s="15"/>
      <c r="K32" s="15"/>
      <c r="L32" s="15"/>
      <c r="M32" s="16"/>
    </row>
    <row r="33" spans="1:13" s="9" customFormat="1" ht="31.2" hidden="1" x14ac:dyDescent="0.25">
      <c r="A33" s="232" t="s">
        <v>285</v>
      </c>
      <c r="B33" s="11" t="s">
        <v>286</v>
      </c>
      <c r="C33" s="737">
        <f>C34</f>
        <v>0</v>
      </c>
      <c r="D33" s="737">
        <f>D34</f>
        <v>0</v>
      </c>
      <c r="E33" s="737">
        <f>E34</f>
        <v>0</v>
      </c>
      <c r="F33" s="761">
        <v>0</v>
      </c>
      <c r="M33" s="16"/>
    </row>
    <row r="34" spans="1:13" ht="15.6" hidden="1" x14ac:dyDescent="0.3">
      <c r="A34" s="233" t="s">
        <v>287</v>
      </c>
      <c r="B34" s="13" t="s">
        <v>284</v>
      </c>
      <c r="C34" s="692">
        <f>D34+E34</f>
        <v>0</v>
      </c>
      <c r="D34" s="692"/>
      <c r="E34" s="692">
        <v>0</v>
      </c>
      <c r="F34" s="762">
        <v>0</v>
      </c>
      <c r="G34" s="15"/>
      <c r="H34" s="15"/>
      <c r="I34" s="15"/>
      <c r="J34" s="15"/>
      <c r="K34" s="15"/>
      <c r="L34" s="15"/>
      <c r="M34" s="16"/>
    </row>
    <row r="35" spans="1:13" ht="31.2" hidden="1" x14ac:dyDescent="0.3">
      <c r="A35" s="232" t="s">
        <v>288</v>
      </c>
      <c r="B35" s="11" t="s">
        <v>662</v>
      </c>
      <c r="C35" s="737">
        <f>D35+E35</f>
        <v>0</v>
      </c>
      <c r="D35" s="737">
        <f>D36+D37</f>
        <v>0</v>
      </c>
      <c r="E35" s="737">
        <v>0</v>
      </c>
      <c r="F35" s="761">
        <v>0</v>
      </c>
      <c r="G35" s="15"/>
      <c r="H35" s="15"/>
      <c r="I35" s="15"/>
      <c r="J35" s="15"/>
      <c r="K35" s="15"/>
      <c r="L35" s="15"/>
      <c r="M35" s="16"/>
    </row>
    <row r="36" spans="1:13" ht="78.599999999999994" hidden="1" customHeight="1" x14ac:dyDescent="0.3">
      <c r="A36" s="233">
        <v>14040100</v>
      </c>
      <c r="B36" s="13" t="s">
        <v>594</v>
      </c>
      <c r="C36" s="692">
        <f>D36+E36</f>
        <v>0</v>
      </c>
      <c r="D36" s="692"/>
      <c r="E36" s="692">
        <v>0</v>
      </c>
      <c r="F36" s="762">
        <v>0</v>
      </c>
      <c r="G36" s="15"/>
      <c r="H36" s="15"/>
      <c r="I36" s="15"/>
      <c r="J36" s="15"/>
      <c r="K36" s="15"/>
      <c r="L36" s="15"/>
      <c r="M36" s="16"/>
    </row>
    <row r="37" spans="1:13" ht="62.4" hidden="1" x14ac:dyDescent="0.3">
      <c r="A37" s="233">
        <v>14040200</v>
      </c>
      <c r="B37" s="13" t="s">
        <v>596</v>
      </c>
      <c r="C37" s="692">
        <f>D37+E37</f>
        <v>0</v>
      </c>
      <c r="D37" s="692"/>
      <c r="E37" s="692">
        <v>0</v>
      </c>
      <c r="F37" s="762">
        <v>0</v>
      </c>
      <c r="G37" s="15"/>
      <c r="H37" s="15"/>
      <c r="I37" s="15"/>
      <c r="J37" s="15"/>
      <c r="K37" s="15"/>
      <c r="L37" s="15"/>
      <c r="M37" s="16"/>
    </row>
    <row r="38" spans="1:13" s="9" customFormat="1" ht="31.2" hidden="1" x14ac:dyDescent="0.25">
      <c r="A38" s="232" t="s">
        <v>289</v>
      </c>
      <c r="B38" s="11" t="s">
        <v>290</v>
      </c>
      <c r="C38" s="737">
        <f>C39+C53</f>
        <v>0</v>
      </c>
      <c r="D38" s="737">
        <f>D39+D53</f>
        <v>0</v>
      </c>
      <c r="E38" s="737">
        <f>E39+E53</f>
        <v>0</v>
      </c>
      <c r="F38" s="761">
        <f>F39+F53</f>
        <v>0</v>
      </c>
      <c r="M38" s="16"/>
    </row>
    <row r="39" spans="1:13" s="9" customFormat="1" ht="15.6" hidden="1" x14ac:dyDescent="0.25">
      <c r="A39" s="232" t="s">
        <v>291</v>
      </c>
      <c r="B39" s="11" t="s">
        <v>292</v>
      </c>
      <c r="C39" s="737">
        <f>C40+C41+C42+C43+C44+C45+C46+C47+C48+C49+C50</f>
        <v>0</v>
      </c>
      <c r="D39" s="737">
        <f>D40+D41+D42+D43+D44+D45+D46+D47+D48+D49+D50</f>
        <v>0</v>
      </c>
      <c r="E39" s="737">
        <f>E40+E41+E42+E43+E44+E45+E46+E47+E48+E49+E50</f>
        <v>0</v>
      </c>
      <c r="F39" s="761">
        <f>F40+F41+F42+F43+F44+F45+F46+F47+F48+F49+F50</f>
        <v>0</v>
      </c>
      <c r="M39" s="16"/>
    </row>
    <row r="40" spans="1:13" ht="46.8" hidden="1" x14ac:dyDescent="0.3">
      <c r="A40" s="233" t="s">
        <v>293</v>
      </c>
      <c r="B40" s="13" t="s">
        <v>294</v>
      </c>
      <c r="C40" s="692">
        <f t="shared" ref="C40:C56" si="1">D40+E40</f>
        <v>0</v>
      </c>
      <c r="D40" s="692"/>
      <c r="E40" s="692">
        <v>0</v>
      </c>
      <c r="F40" s="762">
        <v>0</v>
      </c>
      <c r="G40" s="15"/>
      <c r="H40" s="15"/>
      <c r="I40" s="15"/>
      <c r="J40" s="15"/>
      <c r="K40" s="15"/>
      <c r="L40" s="15"/>
      <c r="M40" s="16"/>
    </row>
    <row r="41" spans="1:13" ht="51" hidden="1" customHeight="1" x14ac:dyDescent="0.3">
      <c r="A41" s="233" t="s">
        <v>295</v>
      </c>
      <c r="B41" s="13" t="s">
        <v>296</v>
      </c>
      <c r="C41" s="692">
        <f t="shared" si="1"/>
        <v>0</v>
      </c>
      <c r="D41" s="692"/>
      <c r="E41" s="692">
        <v>0</v>
      </c>
      <c r="F41" s="762">
        <v>0</v>
      </c>
      <c r="G41" s="15"/>
      <c r="H41" s="15"/>
      <c r="I41" s="15"/>
      <c r="J41" s="15"/>
      <c r="K41" s="15"/>
      <c r="L41" s="15"/>
      <c r="M41" s="16"/>
    </row>
    <row r="42" spans="1:13" ht="46.8" hidden="1" x14ac:dyDescent="0.3">
      <c r="A42" s="233" t="s">
        <v>297</v>
      </c>
      <c r="B42" s="13" t="s">
        <v>298</v>
      </c>
      <c r="C42" s="692">
        <f t="shared" si="1"/>
        <v>0</v>
      </c>
      <c r="D42" s="692"/>
      <c r="E42" s="692">
        <v>0</v>
      </c>
      <c r="F42" s="762">
        <v>0</v>
      </c>
      <c r="G42" s="15"/>
      <c r="H42" s="15"/>
      <c r="I42" s="15"/>
      <c r="J42" s="15"/>
      <c r="K42" s="15"/>
      <c r="L42" s="15"/>
      <c r="M42" s="16"/>
    </row>
    <row r="43" spans="1:13" ht="52.5" hidden="1" customHeight="1" x14ac:dyDescent="0.3">
      <c r="A43" s="233" t="s">
        <v>299</v>
      </c>
      <c r="B43" s="13" t="s">
        <v>300</v>
      </c>
      <c r="C43" s="692">
        <f t="shared" si="1"/>
        <v>0</v>
      </c>
      <c r="D43" s="692"/>
      <c r="E43" s="692">
        <v>0</v>
      </c>
      <c r="F43" s="762">
        <v>0</v>
      </c>
      <c r="G43" s="15"/>
      <c r="H43" s="15"/>
      <c r="I43" s="15"/>
      <c r="J43" s="15"/>
      <c r="K43" s="15"/>
      <c r="L43" s="15"/>
      <c r="M43" s="16"/>
    </row>
    <row r="44" spans="1:13" ht="15.6" hidden="1" x14ac:dyDescent="0.3">
      <c r="A44" s="233" t="s">
        <v>301</v>
      </c>
      <c r="B44" s="13" t="s">
        <v>302</v>
      </c>
      <c r="C44" s="692">
        <f t="shared" si="1"/>
        <v>0</v>
      </c>
      <c r="D44" s="692"/>
      <c r="E44" s="692">
        <v>0</v>
      </c>
      <c r="F44" s="762">
        <v>0</v>
      </c>
      <c r="G44" s="15"/>
      <c r="H44" s="15"/>
      <c r="I44" s="15"/>
      <c r="J44" s="15"/>
      <c r="K44" s="15"/>
      <c r="L44" s="15"/>
      <c r="M44" s="16"/>
    </row>
    <row r="45" spans="1:13" ht="15.6" hidden="1" x14ac:dyDescent="0.3">
      <c r="A45" s="233" t="s">
        <v>303</v>
      </c>
      <c r="B45" s="13" t="s">
        <v>304</v>
      </c>
      <c r="C45" s="692">
        <f t="shared" si="1"/>
        <v>0</v>
      </c>
      <c r="D45" s="692"/>
      <c r="E45" s="692">
        <v>0</v>
      </c>
      <c r="F45" s="762">
        <v>0</v>
      </c>
      <c r="G45" s="15"/>
      <c r="H45" s="15"/>
      <c r="I45" s="15"/>
      <c r="J45" s="15"/>
      <c r="K45" s="15"/>
      <c r="L45" s="15"/>
      <c r="M45" s="16"/>
    </row>
    <row r="46" spans="1:13" ht="15.6" hidden="1" x14ac:dyDescent="0.3">
      <c r="A46" s="233" t="s">
        <v>305</v>
      </c>
      <c r="B46" s="13" t="s">
        <v>306</v>
      </c>
      <c r="C46" s="692">
        <f t="shared" si="1"/>
        <v>0</v>
      </c>
      <c r="D46" s="692"/>
      <c r="E46" s="692">
        <v>0</v>
      </c>
      <c r="F46" s="762">
        <v>0</v>
      </c>
      <c r="G46" s="15"/>
      <c r="H46" s="15"/>
      <c r="I46" s="15"/>
      <c r="J46" s="15"/>
      <c r="K46" s="15"/>
      <c r="L46" s="15"/>
      <c r="M46" s="16"/>
    </row>
    <row r="47" spans="1:13" ht="15.6" hidden="1" x14ac:dyDescent="0.3">
      <c r="A47" s="233" t="s">
        <v>307</v>
      </c>
      <c r="B47" s="13" t="s">
        <v>308</v>
      </c>
      <c r="C47" s="692">
        <f t="shared" si="1"/>
        <v>0</v>
      </c>
      <c r="D47" s="692"/>
      <c r="E47" s="692">
        <v>0</v>
      </c>
      <c r="F47" s="762">
        <v>0</v>
      </c>
      <c r="G47" s="15"/>
      <c r="H47" s="15"/>
      <c r="I47" s="15"/>
      <c r="J47" s="15"/>
      <c r="K47" s="15"/>
      <c r="L47" s="15"/>
      <c r="M47" s="16"/>
    </row>
    <row r="48" spans="1:13" ht="15.6" hidden="1" x14ac:dyDescent="0.3">
      <c r="A48" s="233" t="s">
        <v>309</v>
      </c>
      <c r="B48" s="13" t="s">
        <v>310</v>
      </c>
      <c r="C48" s="692">
        <f t="shared" si="1"/>
        <v>0</v>
      </c>
      <c r="D48" s="692"/>
      <c r="E48" s="692">
        <v>0</v>
      </c>
      <c r="F48" s="762">
        <v>0</v>
      </c>
      <c r="G48" s="15"/>
      <c r="H48" s="15"/>
      <c r="I48" s="15"/>
      <c r="J48" s="15"/>
      <c r="K48" s="15"/>
      <c r="L48" s="15"/>
      <c r="M48" s="16"/>
    </row>
    <row r="49" spans="1:15" ht="15.6" hidden="1" x14ac:dyDescent="0.3">
      <c r="A49" s="233" t="s">
        <v>311</v>
      </c>
      <c r="B49" s="13" t="s">
        <v>312</v>
      </c>
      <c r="C49" s="692">
        <f t="shared" si="1"/>
        <v>0</v>
      </c>
      <c r="D49" s="692"/>
      <c r="E49" s="692">
        <v>0</v>
      </c>
      <c r="F49" s="762">
        <v>0</v>
      </c>
      <c r="G49" s="15"/>
      <c r="H49" s="15"/>
      <c r="I49" s="15"/>
      <c r="J49" s="15"/>
      <c r="K49" s="15"/>
      <c r="L49" s="15"/>
      <c r="M49" s="16"/>
    </row>
    <row r="50" spans="1:15" ht="15.6" hidden="1" x14ac:dyDescent="0.3">
      <c r="A50" s="232">
        <v>18030000</v>
      </c>
      <c r="B50" s="11" t="s">
        <v>617</v>
      </c>
      <c r="C50" s="737">
        <f t="shared" si="1"/>
        <v>0</v>
      </c>
      <c r="D50" s="737">
        <f>D51</f>
        <v>0</v>
      </c>
      <c r="E50" s="737">
        <f>E51</f>
        <v>0</v>
      </c>
      <c r="F50" s="761">
        <f>F51</f>
        <v>0</v>
      </c>
      <c r="G50" s="15"/>
      <c r="H50" s="15"/>
      <c r="I50" s="15"/>
      <c r="J50" s="15"/>
      <c r="K50" s="15"/>
      <c r="L50" s="15"/>
      <c r="M50" s="16"/>
    </row>
    <row r="51" spans="1:15" ht="15.6" hidden="1" x14ac:dyDescent="0.3">
      <c r="A51" s="233">
        <v>18030200</v>
      </c>
      <c r="B51" s="13" t="s">
        <v>621</v>
      </c>
      <c r="C51" s="692">
        <f t="shared" si="1"/>
        <v>0</v>
      </c>
      <c r="D51" s="692"/>
      <c r="E51" s="692"/>
      <c r="F51" s="762"/>
      <c r="G51" s="15"/>
      <c r="H51" s="15"/>
      <c r="I51" s="15"/>
      <c r="J51" s="15"/>
      <c r="K51" s="15"/>
      <c r="L51" s="15"/>
      <c r="M51" s="16"/>
    </row>
    <row r="52" spans="1:15" ht="15.6" hidden="1" x14ac:dyDescent="0.3">
      <c r="A52" s="233"/>
      <c r="B52" s="13"/>
      <c r="C52" s="692">
        <f t="shared" si="1"/>
        <v>0</v>
      </c>
      <c r="D52" s="692"/>
      <c r="E52" s="692"/>
      <c r="F52" s="762"/>
      <c r="G52" s="15"/>
      <c r="H52" s="15"/>
      <c r="I52" s="15"/>
      <c r="J52" s="15"/>
      <c r="K52" s="15"/>
      <c r="L52" s="15"/>
      <c r="M52" s="16"/>
    </row>
    <row r="53" spans="1:15" s="9" customFormat="1" ht="15.6" hidden="1" x14ac:dyDescent="0.25">
      <c r="A53" s="232" t="s">
        <v>313</v>
      </c>
      <c r="B53" s="11" t="s">
        <v>314</v>
      </c>
      <c r="C53" s="737">
        <f>C54+C55+C56</f>
        <v>0</v>
      </c>
      <c r="D53" s="737">
        <f>D54+D55+D56</f>
        <v>0</v>
      </c>
      <c r="E53" s="737">
        <f>E54+E55+E56</f>
        <v>0</v>
      </c>
      <c r="F53" s="761">
        <v>0</v>
      </c>
      <c r="M53" s="16"/>
    </row>
    <row r="54" spans="1:15" ht="15.6" hidden="1" x14ac:dyDescent="0.3">
      <c r="A54" s="233" t="s">
        <v>315</v>
      </c>
      <c r="B54" s="13" t="s">
        <v>316</v>
      </c>
      <c r="C54" s="692">
        <f t="shared" si="1"/>
        <v>0</v>
      </c>
      <c r="D54" s="692"/>
      <c r="E54" s="692">
        <v>0</v>
      </c>
      <c r="F54" s="762">
        <v>0</v>
      </c>
      <c r="G54" s="15"/>
      <c r="H54" s="15"/>
      <c r="I54" s="15"/>
      <c r="J54" s="15"/>
      <c r="K54" s="15"/>
      <c r="L54" s="15"/>
      <c r="M54" s="16"/>
    </row>
    <row r="55" spans="1:15" ht="15.6" hidden="1" x14ac:dyDescent="0.3">
      <c r="A55" s="233" t="s">
        <v>317</v>
      </c>
      <c r="B55" s="13" t="s">
        <v>318</v>
      </c>
      <c r="C55" s="692">
        <f t="shared" si="1"/>
        <v>0</v>
      </c>
      <c r="D55" s="692"/>
      <c r="E55" s="692">
        <v>0</v>
      </c>
      <c r="F55" s="762">
        <v>0</v>
      </c>
      <c r="G55" s="15"/>
      <c r="H55" s="15"/>
      <c r="I55" s="15"/>
      <c r="J55" s="15"/>
      <c r="K55" s="15"/>
      <c r="L55" s="15"/>
      <c r="M55" s="16"/>
      <c r="N55" s="15"/>
      <c r="O55" s="15"/>
    </row>
    <row r="56" spans="1:15" ht="61.5" hidden="1" customHeight="1" x14ac:dyDescent="0.3">
      <c r="A56" s="233" t="s">
        <v>319</v>
      </c>
      <c r="B56" s="13" t="s">
        <v>320</v>
      </c>
      <c r="C56" s="692">
        <f t="shared" si="1"/>
        <v>0</v>
      </c>
      <c r="D56" s="692"/>
      <c r="E56" s="692">
        <v>0</v>
      </c>
      <c r="F56" s="762">
        <v>0</v>
      </c>
      <c r="G56" s="15"/>
      <c r="H56" s="15"/>
      <c r="I56" s="15"/>
      <c r="J56" s="15"/>
      <c r="K56" s="15"/>
      <c r="L56" s="15"/>
      <c r="M56" s="16"/>
      <c r="N56" s="15"/>
      <c r="O56" s="15"/>
    </row>
    <row r="57" spans="1:15" s="9" customFormat="1" ht="15.6" hidden="1" x14ac:dyDescent="0.25">
      <c r="A57" s="232" t="s">
        <v>321</v>
      </c>
      <c r="B57" s="11" t="s">
        <v>322</v>
      </c>
      <c r="C57" s="737">
        <f>C58</f>
        <v>0</v>
      </c>
      <c r="D57" s="737">
        <f>D58</f>
        <v>0</v>
      </c>
      <c r="E57" s="737">
        <f>E58</f>
        <v>0</v>
      </c>
      <c r="F57" s="761">
        <v>0</v>
      </c>
      <c r="M57" s="16"/>
    </row>
    <row r="58" spans="1:15" s="9" customFormat="1" ht="15.6" hidden="1" x14ac:dyDescent="0.25">
      <c r="A58" s="232" t="s">
        <v>323</v>
      </c>
      <c r="B58" s="11" t="s">
        <v>324</v>
      </c>
      <c r="C58" s="737">
        <f>C59+C60+C61</f>
        <v>0</v>
      </c>
      <c r="D58" s="737">
        <f>D59+D60+D61</f>
        <v>0</v>
      </c>
      <c r="E58" s="737">
        <f>E59+E60+E61</f>
        <v>0</v>
      </c>
      <c r="F58" s="761">
        <v>0</v>
      </c>
      <c r="M58" s="16"/>
    </row>
    <row r="59" spans="1:15" ht="62.4" hidden="1" x14ac:dyDescent="0.3">
      <c r="A59" s="233" t="s">
        <v>325</v>
      </c>
      <c r="B59" s="13" t="s">
        <v>326</v>
      </c>
      <c r="C59" s="692">
        <f>D59+E59</f>
        <v>0</v>
      </c>
      <c r="D59" s="692">
        <v>0</v>
      </c>
      <c r="E59" s="692"/>
      <c r="F59" s="762">
        <v>0</v>
      </c>
      <c r="G59" s="15"/>
      <c r="H59" s="15"/>
      <c r="I59" s="15"/>
      <c r="J59" s="15"/>
      <c r="K59" s="15"/>
      <c r="L59" s="15"/>
      <c r="M59" s="16"/>
      <c r="N59" s="15"/>
      <c r="O59" s="15"/>
    </row>
    <row r="60" spans="1:15" ht="31.2" hidden="1" x14ac:dyDescent="0.3">
      <c r="A60" s="233" t="s">
        <v>327</v>
      </c>
      <c r="B60" s="13" t="s">
        <v>328</v>
      </c>
      <c r="C60" s="692">
        <f>D60+E60</f>
        <v>0</v>
      </c>
      <c r="D60" s="692">
        <v>0</v>
      </c>
      <c r="E60" s="692"/>
      <c r="F60" s="762">
        <v>0</v>
      </c>
      <c r="G60" s="15"/>
      <c r="H60" s="15"/>
      <c r="I60" s="15"/>
      <c r="J60" s="15"/>
      <c r="K60" s="15"/>
      <c r="L60" s="15"/>
      <c r="M60" s="16"/>
      <c r="N60" s="15"/>
      <c r="O60" s="15"/>
    </row>
    <row r="61" spans="1:15" ht="47.4" hidden="1" thickBot="1" x14ac:dyDescent="0.35">
      <c r="A61" s="234" t="s">
        <v>329</v>
      </c>
      <c r="B61" s="17" t="s">
        <v>330</v>
      </c>
      <c r="C61" s="744">
        <f>D61+E61</f>
        <v>0</v>
      </c>
      <c r="D61" s="744">
        <v>0</v>
      </c>
      <c r="E61" s="744"/>
      <c r="F61" s="763">
        <v>0</v>
      </c>
      <c r="G61" s="15"/>
      <c r="H61" s="15"/>
      <c r="I61" s="15"/>
      <c r="J61" s="15"/>
      <c r="K61" s="15"/>
      <c r="L61" s="15"/>
      <c r="M61" s="16"/>
      <c r="N61" s="15"/>
      <c r="O61" s="15"/>
    </row>
    <row r="62" spans="1:15" s="9" customFormat="1" ht="16.2" hidden="1" thickBot="1" x14ac:dyDescent="0.3">
      <c r="A62" s="230" t="s">
        <v>331</v>
      </c>
      <c r="B62" s="7" t="s">
        <v>332</v>
      </c>
      <c r="C62" s="684">
        <f>C63+C67+C78+C75</f>
        <v>0</v>
      </c>
      <c r="D62" s="684">
        <f>D63+D67+D78+D75</f>
        <v>0</v>
      </c>
      <c r="E62" s="684">
        <f>E63+E67+E78+E75</f>
        <v>0</v>
      </c>
      <c r="F62" s="685">
        <f>F63+F67+F78+F75</f>
        <v>0</v>
      </c>
      <c r="M62" s="16"/>
    </row>
    <row r="63" spans="1:15" s="9" customFormat="1" ht="20.25" hidden="1" customHeight="1" x14ac:dyDescent="0.25">
      <c r="A63" s="231" t="s">
        <v>333</v>
      </c>
      <c r="B63" s="10" t="s">
        <v>663</v>
      </c>
      <c r="C63" s="742">
        <f>C64</f>
        <v>0</v>
      </c>
      <c r="D63" s="742">
        <f>D64</f>
        <v>0</v>
      </c>
      <c r="E63" s="742">
        <f>E64</f>
        <v>0</v>
      </c>
      <c r="F63" s="738">
        <v>0</v>
      </c>
      <c r="M63" s="16"/>
    </row>
    <row r="64" spans="1:15" s="9" customFormat="1" ht="15.6" hidden="1" x14ac:dyDescent="0.25">
      <c r="A64" s="232" t="s">
        <v>335</v>
      </c>
      <c r="B64" s="11" t="s">
        <v>336</v>
      </c>
      <c r="C64" s="737">
        <f>C65+C66</f>
        <v>0</v>
      </c>
      <c r="D64" s="737">
        <f>D65+D66</f>
        <v>0</v>
      </c>
      <c r="E64" s="737">
        <f>E65+E66</f>
        <v>0</v>
      </c>
      <c r="F64" s="761">
        <v>0</v>
      </c>
      <c r="M64" s="16"/>
    </row>
    <row r="65" spans="1:15" ht="15.6" hidden="1" x14ac:dyDescent="0.3">
      <c r="A65" s="233" t="s">
        <v>337</v>
      </c>
      <c r="B65" s="13" t="s">
        <v>338</v>
      </c>
      <c r="C65" s="692">
        <f>D65+E65</f>
        <v>0</v>
      </c>
      <c r="D65" s="692"/>
      <c r="E65" s="692">
        <v>0</v>
      </c>
      <c r="F65" s="762">
        <v>0</v>
      </c>
      <c r="G65" s="15"/>
      <c r="H65" s="15"/>
      <c r="I65" s="15"/>
      <c r="J65" s="15"/>
      <c r="K65" s="15"/>
      <c r="L65" s="15"/>
      <c r="M65" s="16"/>
      <c r="N65" s="15"/>
      <c r="O65" s="15"/>
    </row>
    <row r="66" spans="1:15" ht="46.8" hidden="1" x14ac:dyDescent="0.3">
      <c r="A66" s="233" t="s">
        <v>339</v>
      </c>
      <c r="B66" s="13" t="s">
        <v>340</v>
      </c>
      <c r="C66" s="692">
        <f>D66+E66</f>
        <v>0</v>
      </c>
      <c r="D66" s="692"/>
      <c r="E66" s="692">
        <v>0</v>
      </c>
      <c r="F66" s="762">
        <v>0</v>
      </c>
      <c r="G66" s="15"/>
      <c r="H66" s="15"/>
      <c r="I66" s="15"/>
      <c r="J66" s="15"/>
      <c r="K66" s="15"/>
      <c r="L66" s="15"/>
      <c r="M66" s="16"/>
      <c r="N66" s="15"/>
      <c r="O66" s="18"/>
    </row>
    <row r="67" spans="1:15" s="9" customFormat="1" ht="31.2" hidden="1" x14ac:dyDescent="0.25">
      <c r="A67" s="232" t="s">
        <v>341</v>
      </c>
      <c r="B67" s="11" t="s">
        <v>342</v>
      </c>
      <c r="C67" s="737">
        <f>C68+C72</f>
        <v>0</v>
      </c>
      <c r="D67" s="737">
        <f>D68+D72</f>
        <v>0</v>
      </c>
      <c r="E67" s="737">
        <f>E68+E72</f>
        <v>0</v>
      </c>
      <c r="F67" s="761">
        <v>0</v>
      </c>
      <c r="M67" s="16"/>
    </row>
    <row r="68" spans="1:15" s="9" customFormat="1" ht="15.6" hidden="1" x14ac:dyDescent="0.25">
      <c r="A68" s="232" t="s">
        <v>343</v>
      </c>
      <c r="B68" s="11" t="s">
        <v>344</v>
      </c>
      <c r="C68" s="737">
        <f>C69+C70+C71</f>
        <v>0</v>
      </c>
      <c r="D68" s="737">
        <f>D69+D70+D71</f>
        <v>0</v>
      </c>
      <c r="E68" s="737">
        <f>E69+E70+E71</f>
        <v>0</v>
      </c>
      <c r="F68" s="761">
        <v>0</v>
      </c>
      <c r="M68" s="16"/>
    </row>
    <row r="69" spans="1:15" ht="46.8" hidden="1" x14ac:dyDescent="0.3">
      <c r="A69" s="233" t="s">
        <v>345</v>
      </c>
      <c r="B69" s="13" t="s">
        <v>346</v>
      </c>
      <c r="C69" s="692">
        <f t="shared" ref="C69:C83" si="2">D69+E69</f>
        <v>0</v>
      </c>
      <c r="D69" s="692"/>
      <c r="E69" s="692">
        <v>0</v>
      </c>
      <c r="F69" s="762">
        <v>0</v>
      </c>
      <c r="G69" s="15"/>
      <c r="H69" s="15"/>
      <c r="I69" s="15"/>
      <c r="J69" s="15"/>
      <c r="K69" s="15"/>
      <c r="L69" s="15"/>
      <c r="M69" s="16"/>
      <c r="N69" s="15"/>
      <c r="O69" s="15"/>
    </row>
    <row r="70" spans="1:15" ht="15.6" hidden="1" x14ac:dyDescent="0.3">
      <c r="A70" s="233" t="s">
        <v>347</v>
      </c>
      <c r="B70" s="13" t="s">
        <v>348</v>
      </c>
      <c r="C70" s="692">
        <f t="shared" si="2"/>
        <v>0</v>
      </c>
      <c r="D70" s="692"/>
      <c r="E70" s="692">
        <v>0</v>
      </c>
      <c r="F70" s="762">
        <v>0</v>
      </c>
      <c r="G70" s="15"/>
      <c r="H70" s="15"/>
      <c r="I70" s="15"/>
      <c r="J70" s="15"/>
      <c r="K70" s="15"/>
      <c r="L70" s="15"/>
      <c r="M70" s="16"/>
      <c r="N70" s="15"/>
      <c r="O70" s="15"/>
    </row>
    <row r="71" spans="1:15" ht="31.2" hidden="1" x14ac:dyDescent="0.3">
      <c r="A71" s="233" t="s">
        <v>349</v>
      </c>
      <c r="B71" s="13" t="s">
        <v>350</v>
      </c>
      <c r="C71" s="692">
        <f t="shared" si="2"/>
        <v>0</v>
      </c>
      <c r="D71" s="692"/>
      <c r="E71" s="692">
        <v>0</v>
      </c>
      <c r="F71" s="762">
        <v>0</v>
      </c>
      <c r="G71" s="15"/>
      <c r="H71" s="15"/>
      <c r="I71" s="15"/>
      <c r="J71" s="15"/>
      <c r="K71" s="15"/>
      <c r="L71" s="15"/>
      <c r="M71" s="16"/>
    </row>
    <row r="72" spans="1:15" s="9" customFormat="1" ht="15.6" hidden="1" x14ac:dyDescent="0.25">
      <c r="A72" s="232" t="s">
        <v>351</v>
      </c>
      <c r="B72" s="11" t="s">
        <v>352</v>
      </c>
      <c r="C72" s="737">
        <f>C73+C74</f>
        <v>0</v>
      </c>
      <c r="D72" s="737">
        <f>D73+D74</f>
        <v>0</v>
      </c>
      <c r="E72" s="737">
        <f>E73+E74</f>
        <v>0</v>
      </c>
      <c r="F72" s="761">
        <v>0</v>
      </c>
      <c r="M72" s="16"/>
    </row>
    <row r="73" spans="1:15" ht="46.8" hidden="1" x14ac:dyDescent="0.3">
      <c r="A73" s="233" t="s">
        <v>353</v>
      </c>
      <c r="B73" s="13" t="s">
        <v>354</v>
      </c>
      <c r="C73" s="692">
        <f t="shared" si="2"/>
        <v>0</v>
      </c>
      <c r="D73" s="692"/>
      <c r="E73" s="692">
        <v>0</v>
      </c>
      <c r="F73" s="762">
        <v>0</v>
      </c>
      <c r="G73" s="15"/>
      <c r="H73" s="15"/>
      <c r="I73" s="15"/>
      <c r="J73" s="15"/>
      <c r="K73" s="15"/>
      <c r="L73" s="15"/>
      <c r="M73" s="16"/>
    </row>
    <row r="74" spans="1:15" ht="15.6" hidden="1" x14ac:dyDescent="0.3">
      <c r="A74" s="233" t="s">
        <v>355</v>
      </c>
      <c r="B74" s="13" t="s">
        <v>356</v>
      </c>
      <c r="C74" s="692">
        <f t="shared" si="2"/>
        <v>0</v>
      </c>
      <c r="D74" s="692"/>
      <c r="E74" s="692">
        <v>0</v>
      </c>
      <c r="F74" s="762">
        <v>0</v>
      </c>
      <c r="G74" s="15"/>
      <c r="H74" s="15"/>
      <c r="I74" s="15"/>
      <c r="J74" s="15"/>
      <c r="K74" s="15"/>
      <c r="L74" s="15"/>
      <c r="M74" s="16"/>
    </row>
    <row r="75" spans="1:15" ht="15.6" hidden="1" x14ac:dyDescent="0.3">
      <c r="A75" s="232">
        <v>24000000</v>
      </c>
      <c r="B75" s="11" t="s">
        <v>664</v>
      </c>
      <c r="C75" s="737">
        <f t="shared" si="2"/>
        <v>0</v>
      </c>
      <c r="D75" s="737">
        <f>D76</f>
        <v>0</v>
      </c>
      <c r="E75" s="737"/>
      <c r="F75" s="761"/>
      <c r="G75" s="15"/>
      <c r="H75" s="15"/>
      <c r="I75" s="15"/>
      <c r="J75" s="15"/>
      <c r="K75" s="15"/>
      <c r="L75" s="15"/>
      <c r="M75" s="16"/>
    </row>
    <row r="76" spans="1:15" ht="15.6" hidden="1" x14ac:dyDescent="0.3">
      <c r="A76" s="233">
        <v>24060000</v>
      </c>
      <c r="B76" s="13" t="s">
        <v>665</v>
      </c>
      <c r="C76" s="692">
        <f t="shared" si="2"/>
        <v>0</v>
      </c>
      <c r="D76" s="692">
        <f>D77</f>
        <v>0</v>
      </c>
      <c r="E76" s="692"/>
      <c r="F76" s="762"/>
      <c r="G76" s="15"/>
      <c r="H76" s="15"/>
      <c r="I76" s="15"/>
      <c r="J76" s="15"/>
      <c r="K76" s="15"/>
      <c r="L76" s="15"/>
      <c r="M76" s="16"/>
    </row>
    <row r="77" spans="1:15" ht="15.6" hidden="1" x14ac:dyDescent="0.3">
      <c r="A77" s="233">
        <v>24060300</v>
      </c>
      <c r="B77" s="13" t="s">
        <v>665</v>
      </c>
      <c r="C77" s="692">
        <f t="shared" si="2"/>
        <v>0</v>
      </c>
      <c r="D77" s="692"/>
      <c r="E77" s="692"/>
      <c r="F77" s="762"/>
      <c r="G77" s="15"/>
      <c r="H77" s="15"/>
      <c r="I77" s="15"/>
      <c r="J77" s="15"/>
      <c r="K77" s="15"/>
      <c r="L77" s="15"/>
      <c r="M77" s="16"/>
    </row>
    <row r="78" spans="1:15" s="9" customFormat="1" ht="15.6" hidden="1" x14ac:dyDescent="0.25">
      <c r="A78" s="232" t="s">
        <v>357</v>
      </c>
      <c r="B78" s="11" t="s">
        <v>358</v>
      </c>
      <c r="C78" s="692">
        <f t="shared" si="2"/>
        <v>0</v>
      </c>
      <c r="D78" s="737">
        <f>D79</f>
        <v>0</v>
      </c>
      <c r="E78" s="737">
        <f>E79</f>
        <v>0</v>
      </c>
      <c r="F78" s="761">
        <v>0</v>
      </c>
      <c r="M78" s="16"/>
    </row>
    <row r="79" spans="1:15" s="9" customFormat="1" ht="31.2" hidden="1" x14ac:dyDescent="0.25">
      <c r="A79" s="232" t="s">
        <v>360</v>
      </c>
      <c r="B79" s="11" t="s">
        <v>361</v>
      </c>
      <c r="C79" s="692">
        <f t="shared" si="2"/>
        <v>0</v>
      </c>
      <c r="D79" s="737">
        <f>D80+D81</f>
        <v>0</v>
      </c>
      <c r="E79" s="737">
        <f>E80+E81</f>
        <v>0</v>
      </c>
      <c r="F79" s="761">
        <v>0</v>
      </c>
      <c r="G79" s="15"/>
      <c r="H79" s="15"/>
      <c r="I79" s="15"/>
      <c r="M79" s="16"/>
    </row>
    <row r="80" spans="1:15" ht="31.2" hidden="1" x14ac:dyDescent="0.3">
      <c r="A80" s="233" t="s">
        <v>362</v>
      </c>
      <c r="B80" s="13" t="s">
        <v>363</v>
      </c>
      <c r="C80" s="692">
        <f t="shared" si="2"/>
        <v>0</v>
      </c>
      <c r="D80" s="743">
        <v>0</v>
      </c>
      <c r="E80" s="743"/>
      <c r="F80" s="764">
        <v>0</v>
      </c>
      <c r="G80" s="15"/>
      <c r="H80" s="15"/>
      <c r="I80" s="15"/>
      <c r="J80" s="15"/>
      <c r="K80" s="15"/>
      <c r="L80" s="15"/>
      <c r="M80" s="16"/>
    </row>
    <row r="81" spans="1:13" ht="47.4" hidden="1" thickBot="1" x14ac:dyDescent="0.35">
      <c r="A81" s="234" t="s">
        <v>364</v>
      </c>
      <c r="B81" s="17" t="s">
        <v>365</v>
      </c>
      <c r="C81" s="744">
        <f t="shared" si="2"/>
        <v>0</v>
      </c>
      <c r="D81" s="765">
        <v>0</v>
      </c>
      <c r="E81" s="744"/>
      <c r="F81" s="763">
        <v>0</v>
      </c>
      <c r="G81" s="9"/>
      <c r="H81" s="9"/>
      <c r="I81" s="15"/>
      <c r="J81" s="15"/>
      <c r="K81" s="15"/>
      <c r="L81" s="15"/>
      <c r="M81" s="16"/>
    </row>
    <row r="82" spans="1:13" s="9" customFormat="1" ht="16.2" hidden="1" thickBot="1" x14ac:dyDescent="0.3">
      <c r="A82" s="230" t="s">
        <v>366</v>
      </c>
      <c r="B82" s="7" t="s">
        <v>367</v>
      </c>
      <c r="C82" s="749">
        <f t="shared" si="2"/>
        <v>0</v>
      </c>
      <c r="D82" s="684">
        <f>D83+D86</f>
        <v>0</v>
      </c>
      <c r="E82" s="684">
        <f>E83+E86</f>
        <v>0</v>
      </c>
      <c r="F82" s="685">
        <f>F83+F86</f>
        <v>0</v>
      </c>
      <c r="M82" s="16"/>
    </row>
    <row r="83" spans="1:13" s="9" customFormat="1" ht="15.6" hidden="1" x14ac:dyDescent="0.25">
      <c r="A83" s="231" t="s">
        <v>368</v>
      </c>
      <c r="B83" s="10" t="s">
        <v>369</v>
      </c>
      <c r="C83" s="750">
        <f t="shared" si="2"/>
        <v>0</v>
      </c>
      <c r="D83" s="742">
        <f t="shared" ref="D83:F84" si="3">D84</f>
        <v>0</v>
      </c>
      <c r="E83" s="742">
        <f t="shared" si="3"/>
        <v>0</v>
      </c>
      <c r="F83" s="738">
        <f t="shared" si="3"/>
        <v>0</v>
      </c>
      <c r="M83" s="16"/>
    </row>
    <row r="84" spans="1:13" s="9" customFormat="1" ht="78" hidden="1" x14ac:dyDescent="0.25">
      <c r="A84" s="232" t="s">
        <v>370</v>
      </c>
      <c r="B84" s="11" t="s">
        <v>371</v>
      </c>
      <c r="C84" s="737">
        <f>C85</f>
        <v>0</v>
      </c>
      <c r="D84" s="737">
        <f t="shared" si="3"/>
        <v>0</v>
      </c>
      <c r="E84" s="737">
        <f t="shared" si="3"/>
        <v>0</v>
      </c>
      <c r="F84" s="761">
        <f t="shared" si="3"/>
        <v>0</v>
      </c>
      <c r="M84" s="16"/>
    </row>
    <row r="85" spans="1:13" ht="62.4" hidden="1" x14ac:dyDescent="0.3">
      <c r="A85" s="233" t="s">
        <v>372</v>
      </c>
      <c r="B85" s="13" t="s">
        <v>373</v>
      </c>
      <c r="C85" s="692">
        <f>D85+E85</f>
        <v>0</v>
      </c>
      <c r="D85" s="692"/>
      <c r="E85" s="692">
        <v>0</v>
      </c>
      <c r="F85" s="762">
        <v>0</v>
      </c>
      <c r="G85" s="15"/>
      <c r="H85" s="15"/>
      <c r="I85" s="15"/>
      <c r="J85" s="15"/>
      <c r="K85" s="15"/>
      <c r="L85" s="15"/>
      <c r="M85" s="16"/>
    </row>
    <row r="86" spans="1:13" s="9" customFormat="1" ht="15.6" hidden="1" x14ac:dyDescent="0.25">
      <c r="A86" s="232" t="s">
        <v>374</v>
      </c>
      <c r="B86" s="11" t="s">
        <v>375</v>
      </c>
      <c r="C86" s="737">
        <f t="shared" ref="C86:F87" si="4">C87</f>
        <v>0</v>
      </c>
      <c r="D86" s="737">
        <f t="shared" si="4"/>
        <v>0</v>
      </c>
      <c r="E86" s="737">
        <f t="shared" si="4"/>
        <v>0</v>
      </c>
      <c r="F86" s="761">
        <f t="shared" si="4"/>
        <v>0</v>
      </c>
      <c r="M86" s="16"/>
    </row>
    <row r="87" spans="1:13" s="9" customFormat="1" ht="15.6" hidden="1" x14ac:dyDescent="0.25">
      <c r="A87" s="232" t="s">
        <v>376</v>
      </c>
      <c r="B87" s="11" t="s">
        <v>377</v>
      </c>
      <c r="C87" s="737">
        <f t="shared" si="4"/>
        <v>0</v>
      </c>
      <c r="D87" s="737">
        <f t="shared" si="4"/>
        <v>0</v>
      </c>
      <c r="E87" s="737">
        <f t="shared" si="4"/>
        <v>0</v>
      </c>
      <c r="F87" s="761">
        <f t="shared" si="4"/>
        <v>0</v>
      </c>
      <c r="M87" s="16"/>
    </row>
    <row r="88" spans="1:13" ht="62.4" hidden="1" x14ac:dyDescent="0.3">
      <c r="A88" s="233" t="s">
        <v>378</v>
      </c>
      <c r="B88" s="13" t="s">
        <v>379</v>
      </c>
      <c r="C88" s="692">
        <f>D88+E88</f>
        <v>0</v>
      </c>
      <c r="D88" s="692">
        <v>0</v>
      </c>
      <c r="E88" s="743"/>
      <c r="F88" s="764"/>
      <c r="G88" s="15"/>
      <c r="H88" s="15"/>
      <c r="I88" s="15"/>
      <c r="J88" s="15"/>
      <c r="K88" s="15"/>
      <c r="L88" s="15"/>
      <c r="M88" s="16"/>
    </row>
    <row r="89" spans="1:13" ht="32.25" hidden="1" customHeight="1" thickBot="1" x14ac:dyDescent="0.35">
      <c r="A89" s="234"/>
      <c r="B89" s="19" t="s">
        <v>380</v>
      </c>
      <c r="C89" s="745">
        <f>C14+C62+C82</f>
        <v>0</v>
      </c>
      <c r="D89" s="745">
        <f>D14+D62+D82</f>
        <v>0</v>
      </c>
      <c r="E89" s="745">
        <f>E14+E62+E82</f>
        <v>0</v>
      </c>
      <c r="F89" s="768">
        <f>F14+F62+F82</f>
        <v>0</v>
      </c>
      <c r="G89" s="15"/>
      <c r="H89" s="15"/>
      <c r="I89" s="15"/>
      <c r="J89" s="15"/>
      <c r="K89" s="15"/>
      <c r="L89" s="15"/>
      <c r="M89" s="16"/>
    </row>
    <row r="90" spans="1:13" s="20" customFormat="1" ht="16.2" thickBot="1" x14ac:dyDescent="0.3">
      <c r="A90" s="235" t="s">
        <v>381</v>
      </c>
      <c r="B90" s="236" t="s">
        <v>382</v>
      </c>
      <c r="C90" s="686">
        <f>C91</f>
        <v>99994</v>
      </c>
      <c r="D90" s="686">
        <f>D91</f>
        <v>99994</v>
      </c>
      <c r="E90" s="686">
        <f>E91</f>
        <v>0</v>
      </c>
      <c r="F90" s="687">
        <f>F91</f>
        <v>0</v>
      </c>
      <c r="M90" s="16"/>
    </row>
    <row r="91" spans="1:13" s="20" customFormat="1" ht="15.6" x14ac:dyDescent="0.25">
      <c r="A91" s="237" t="s">
        <v>383</v>
      </c>
      <c r="B91" s="238" t="s">
        <v>384</v>
      </c>
      <c r="C91" s="688">
        <f>C94+C104+C107+C92</f>
        <v>99994</v>
      </c>
      <c r="D91" s="688">
        <f>D94+D104+D107+D92</f>
        <v>99994</v>
      </c>
      <c r="E91" s="688">
        <f>E94+E104+E107+E92</f>
        <v>0</v>
      </c>
      <c r="F91" s="689">
        <f>F94+F104+F107+F92</f>
        <v>0</v>
      </c>
      <c r="M91" s="16"/>
    </row>
    <row r="92" spans="1:13" s="20" customFormat="1" ht="15.6" hidden="1" x14ac:dyDescent="0.25">
      <c r="A92" s="237">
        <v>41020000</v>
      </c>
      <c r="B92" s="238" t="s">
        <v>385</v>
      </c>
      <c r="C92" s="737">
        <f t="shared" ref="C92:C113" si="5">D92+E92</f>
        <v>0</v>
      </c>
      <c r="D92" s="688">
        <f>D93</f>
        <v>0</v>
      </c>
      <c r="E92" s="688"/>
      <c r="F92" s="689">
        <v>0</v>
      </c>
      <c r="M92" s="16"/>
    </row>
    <row r="93" spans="1:13" s="20" customFormat="1" ht="78" hidden="1" x14ac:dyDescent="0.25">
      <c r="A93" s="168">
        <v>41021400</v>
      </c>
      <c r="B93" s="13" t="s">
        <v>921</v>
      </c>
      <c r="C93" s="1023">
        <f t="shared" si="5"/>
        <v>0</v>
      </c>
      <c r="D93" s="694"/>
      <c r="E93" s="746"/>
      <c r="F93" s="766">
        <v>0</v>
      </c>
      <c r="M93" s="16"/>
    </row>
    <row r="94" spans="1:13" s="20" customFormat="1" ht="17.25" hidden="1" customHeight="1" x14ac:dyDescent="0.25">
      <c r="A94" s="240" t="s">
        <v>386</v>
      </c>
      <c r="B94" s="241" t="s">
        <v>387</v>
      </c>
      <c r="C94" s="739">
        <f>SUM(C95:C103)</f>
        <v>0</v>
      </c>
      <c r="D94" s="739">
        <f>SUM(D95:D103)</f>
        <v>0</v>
      </c>
      <c r="E94" s="739">
        <f>SUM(E95:E103)</f>
        <v>0</v>
      </c>
      <c r="F94" s="739">
        <f>SUM(F95:F103)</f>
        <v>0</v>
      </c>
      <c r="M94" s="16"/>
    </row>
    <row r="95" spans="1:13" s="20" customFormat="1" ht="31.2" hidden="1" x14ac:dyDescent="0.25">
      <c r="A95" s="239">
        <v>41031900</v>
      </c>
      <c r="B95" s="21" t="s">
        <v>666</v>
      </c>
      <c r="C95" s="737">
        <f>D95+E95</f>
        <v>0</v>
      </c>
      <c r="D95" s="693"/>
      <c r="E95" s="739"/>
      <c r="F95" s="767"/>
      <c r="M95" s="16"/>
    </row>
    <row r="96" spans="1:13" s="20" customFormat="1" ht="38.25" hidden="1" customHeight="1" x14ac:dyDescent="0.25">
      <c r="A96" s="239">
        <v>41033100</v>
      </c>
      <c r="B96" s="21" t="s">
        <v>667</v>
      </c>
      <c r="C96" s="737">
        <f>D96+E96</f>
        <v>0</v>
      </c>
      <c r="D96" s="693">
        <v>0</v>
      </c>
      <c r="E96" s="747"/>
      <c r="F96" s="766"/>
      <c r="M96" s="16"/>
    </row>
    <row r="97" spans="1:14" s="20" customFormat="1" ht="46.8" hidden="1" x14ac:dyDescent="0.25">
      <c r="A97" s="239">
        <v>41033300</v>
      </c>
      <c r="B97" s="21" t="s">
        <v>996</v>
      </c>
      <c r="C97" s="737">
        <f>D97+E97</f>
        <v>0</v>
      </c>
      <c r="D97" s="693"/>
      <c r="E97" s="747"/>
      <c r="F97" s="766"/>
      <c r="M97" s="16"/>
    </row>
    <row r="98" spans="1:14" s="20" customFormat="1" ht="46.8" hidden="1" x14ac:dyDescent="0.25">
      <c r="A98" s="239">
        <v>41033700</v>
      </c>
      <c r="B98" s="21" t="s">
        <v>388</v>
      </c>
      <c r="C98" s="737">
        <f t="shared" si="5"/>
        <v>0</v>
      </c>
      <c r="D98" s="693"/>
      <c r="E98" s="739"/>
      <c r="F98" s="767">
        <v>0</v>
      </c>
      <c r="M98" s="16"/>
    </row>
    <row r="99" spans="1:14" s="22" customFormat="1" ht="15.6" hidden="1" x14ac:dyDescent="0.25">
      <c r="A99" s="239" t="s">
        <v>389</v>
      </c>
      <c r="B99" s="21" t="s">
        <v>390</v>
      </c>
      <c r="C99" s="737">
        <f t="shared" si="5"/>
        <v>0</v>
      </c>
      <c r="D99" s="693"/>
      <c r="E99" s="693"/>
      <c r="F99" s="766">
        <v>0</v>
      </c>
      <c r="M99" s="16"/>
    </row>
    <row r="100" spans="1:14" s="22" customFormat="1" ht="47.4" hidden="1" thickBot="1" x14ac:dyDescent="0.3">
      <c r="A100" s="239">
        <v>41037200</v>
      </c>
      <c r="B100" s="21" t="s">
        <v>970</v>
      </c>
      <c r="C100" s="737">
        <f t="shared" si="5"/>
        <v>0</v>
      </c>
      <c r="D100" s="703"/>
      <c r="E100" s="693">
        <v>0</v>
      </c>
      <c r="F100" s="766">
        <v>0</v>
      </c>
      <c r="M100" s="16"/>
    </row>
    <row r="101" spans="1:14" s="22" customFormat="1" ht="27" hidden="1" thickBot="1" x14ac:dyDescent="0.3">
      <c r="A101" s="714">
        <v>41035400</v>
      </c>
      <c r="B101" s="715" t="s">
        <v>1163</v>
      </c>
      <c r="C101" s="737">
        <f>D101+E101</f>
        <v>0</v>
      </c>
      <c r="D101" s="791"/>
      <c r="E101" s="693"/>
      <c r="F101" s="766"/>
      <c r="M101" s="16"/>
    </row>
    <row r="102" spans="1:14" s="22" customFormat="1" ht="40.200000000000003" hidden="1" thickBot="1" x14ac:dyDescent="0.3">
      <c r="A102" s="714">
        <v>41036000</v>
      </c>
      <c r="B102" s="715" t="s">
        <v>1117</v>
      </c>
      <c r="C102" s="737">
        <f>D102+E102</f>
        <v>0</v>
      </c>
      <c r="D102" s="703"/>
      <c r="E102" s="703"/>
      <c r="F102" s="766"/>
      <c r="M102" s="16"/>
    </row>
    <row r="103" spans="1:14" s="22" customFormat="1" ht="27" hidden="1" thickBot="1" x14ac:dyDescent="0.3">
      <c r="A103" s="714">
        <v>41036300</v>
      </c>
      <c r="B103" s="715" t="s">
        <v>1116</v>
      </c>
      <c r="C103" s="737">
        <f t="shared" si="5"/>
        <v>0</v>
      </c>
      <c r="D103" s="703"/>
      <c r="E103" s="693"/>
      <c r="F103" s="766"/>
      <c r="M103" s="16"/>
    </row>
    <row r="104" spans="1:14" s="20" customFormat="1" ht="15.6" x14ac:dyDescent="0.25">
      <c r="A104" s="242">
        <v>41040000</v>
      </c>
      <c r="B104" s="243" t="s">
        <v>391</v>
      </c>
      <c r="C104" s="683">
        <f>D104+E104</f>
        <v>99994</v>
      </c>
      <c r="D104" s="683">
        <f>D106</f>
        <v>99994</v>
      </c>
      <c r="E104" s="683">
        <f>E105+E106</f>
        <v>0</v>
      </c>
      <c r="F104" s="690">
        <f>F105+F106</f>
        <v>0</v>
      </c>
      <c r="M104" s="16"/>
    </row>
    <row r="105" spans="1:14" s="22" customFormat="1" ht="62.4" hidden="1" x14ac:dyDescent="0.25">
      <c r="A105" s="244">
        <v>41040200</v>
      </c>
      <c r="B105" s="245" t="s">
        <v>392</v>
      </c>
      <c r="C105" s="1024">
        <f t="shared" si="5"/>
        <v>0</v>
      </c>
      <c r="D105" s="703"/>
      <c r="E105" s="703">
        <v>0</v>
      </c>
      <c r="F105" s="790">
        <v>0</v>
      </c>
      <c r="M105" s="16"/>
      <c r="N105" s="23" t="s">
        <v>393</v>
      </c>
    </row>
    <row r="106" spans="1:14" s="22" customFormat="1" ht="15.6" customHeight="1" thickBot="1" x14ac:dyDescent="0.3">
      <c r="A106" s="244">
        <v>41040400</v>
      </c>
      <c r="B106" s="245" t="s">
        <v>668</v>
      </c>
      <c r="C106" s="1024">
        <f t="shared" si="5"/>
        <v>99994</v>
      </c>
      <c r="D106" s="1157">
        <v>99994</v>
      </c>
      <c r="E106" s="703"/>
      <c r="F106" s="790"/>
      <c r="M106" s="16"/>
      <c r="N106" s="23"/>
    </row>
    <row r="107" spans="1:14" s="20" customFormat="1" ht="15.6" hidden="1" customHeight="1" x14ac:dyDescent="0.25">
      <c r="A107" s="242">
        <v>41050000</v>
      </c>
      <c r="B107" s="243" t="s">
        <v>394</v>
      </c>
      <c r="C107" s="683">
        <f>SUM(C108:C116)</f>
        <v>0</v>
      </c>
      <c r="D107" s="683">
        <f>SUM(D108:D116)</f>
        <v>0</v>
      </c>
      <c r="E107" s="683">
        <f>SUM(E108:E116)</f>
        <v>0</v>
      </c>
      <c r="F107" s="683">
        <f>SUM(F108:F116)</f>
        <v>0</v>
      </c>
      <c r="M107" s="16"/>
      <c r="N107" s="24"/>
    </row>
    <row r="108" spans="1:14" s="20" customFormat="1" ht="296.39999999999998" hidden="1" customHeight="1" x14ac:dyDescent="0.25">
      <c r="A108" s="239">
        <v>41050400</v>
      </c>
      <c r="B108" s="245" t="s">
        <v>939</v>
      </c>
      <c r="C108" s="722">
        <f t="shared" si="5"/>
        <v>0</v>
      </c>
      <c r="D108" s="703"/>
      <c r="E108" s="683"/>
      <c r="F108" s="690"/>
      <c r="M108" s="16"/>
      <c r="N108" s="24"/>
    </row>
    <row r="109" spans="1:14" s="20" customFormat="1" ht="31.2" hidden="1" customHeight="1" x14ac:dyDescent="0.25">
      <c r="A109" s="239">
        <v>41051000</v>
      </c>
      <c r="B109" s="21" t="s">
        <v>395</v>
      </c>
      <c r="C109" s="722">
        <f t="shared" si="5"/>
        <v>0</v>
      </c>
      <c r="D109" s="693"/>
      <c r="E109" s="693"/>
      <c r="F109" s="767">
        <v>0</v>
      </c>
      <c r="M109" s="16"/>
      <c r="N109" s="23"/>
    </row>
    <row r="110" spans="1:14" s="20" customFormat="1" ht="46.8" hidden="1" customHeight="1" x14ac:dyDescent="0.3">
      <c r="A110" s="246">
        <v>41051100</v>
      </c>
      <c r="B110" s="247" t="s">
        <v>396</v>
      </c>
      <c r="C110" s="737">
        <f t="shared" si="5"/>
        <v>0</v>
      </c>
      <c r="D110" s="693"/>
      <c r="E110" s="693"/>
      <c r="F110" s="767">
        <v>0</v>
      </c>
      <c r="M110" s="16"/>
      <c r="N110" s="23"/>
    </row>
    <row r="111" spans="1:14" s="25" customFormat="1" ht="46.8" hidden="1" customHeight="1" x14ac:dyDescent="0.25">
      <c r="A111" s="248">
        <v>41051200</v>
      </c>
      <c r="B111" s="249" t="s">
        <v>397</v>
      </c>
      <c r="C111" s="722">
        <f t="shared" si="5"/>
        <v>0</v>
      </c>
      <c r="D111" s="791"/>
      <c r="E111" s="748"/>
      <c r="F111" s="792">
        <v>0</v>
      </c>
      <c r="M111" s="26"/>
      <c r="N111" s="27"/>
    </row>
    <row r="112" spans="1:14" s="20" customFormat="1" ht="62.4" hidden="1" customHeight="1" x14ac:dyDescent="0.3">
      <c r="A112" s="246">
        <v>41051400</v>
      </c>
      <c r="B112" s="247" t="s">
        <v>973</v>
      </c>
      <c r="C112" s="737">
        <f t="shared" si="5"/>
        <v>0</v>
      </c>
      <c r="D112" s="703"/>
      <c r="E112" s="739"/>
      <c r="F112" s="767">
        <v>0</v>
      </c>
      <c r="M112" s="16"/>
      <c r="N112" s="23"/>
    </row>
    <row r="113" spans="1:22" s="20" customFormat="1" ht="62.4" hidden="1" customHeight="1" x14ac:dyDescent="0.3">
      <c r="A113" s="246">
        <v>41051700</v>
      </c>
      <c r="B113" s="247" t="s">
        <v>399</v>
      </c>
      <c r="C113" s="737">
        <f t="shared" si="5"/>
        <v>0</v>
      </c>
      <c r="D113" s="693"/>
      <c r="E113" s="739"/>
      <c r="F113" s="767">
        <v>0</v>
      </c>
      <c r="M113" s="16"/>
      <c r="N113" s="23"/>
    </row>
    <row r="114" spans="1:22" s="20" customFormat="1" ht="16.2" hidden="1" customHeight="1" thickBot="1" x14ac:dyDescent="0.3">
      <c r="A114" s="239" t="s">
        <v>555</v>
      </c>
      <c r="B114" s="21" t="s">
        <v>12</v>
      </c>
      <c r="C114" s="737">
        <f>D114+E114</f>
        <v>0</v>
      </c>
      <c r="D114" s="693"/>
      <c r="E114" s="693"/>
      <c r="F114" s="693"/>
      <c r="M114" s="16"/>
      <c r="N114" s="23"/>
    </row>
    <row r="115" spans="1:22" s="22" customFormat="1" ht="47.4" hidden="1" thickBot="1" x14ac:dyDescent="0.3">
      <c r="A115" s="250">
        <v>41058900</v>
      </c>
      <c r="B115" s="251" t="s">
        <v>669</v>
      </c>
      <c r="C115" s="737">
        <f>D115+E115</f>
        <v>0</v>
      </c>
      <c r="D115" s="793"/>
      <c r="E115" s="693">
        <v>0</v>
      </c>
      <c r="F115" s="766">
        <v>0</v>
      </c>
      <c r="M115" s="16"/>
      <c r="N115" s="23" t="s">
        <v>393</v>
      </c>
    </row>
    <row r="116" spans="1:22" s="9" customFormat="1" ht="78.599999999999994" hidden="1" thickBot="1" x14ac:dyDescent="0.3">
      <c r="A116" s="250">
        <v>41059300</v>
      </c>
      <c r="B116" s="251" t="s">
        <v>1036</v>
      </c>
      <c r="C116" s="737">
        <f>D116+E116</f>
        <v>0</v>
      </c>
      <c r="D116" s="703"/>
      <c r="E116" s="693">
        <v>0</v>
      </c>
      <c r="F116" s="766">
        <v>0</v>
      </c>
      <c r="M116" s="16"/>
    </row>
    <row r="117" spans="1:22" s="9" customFormat="1" ht="17.399999999999999" customHeight="1" thickBot="1" x14ac:dyDescent="0.3">
      <c r="A117" s="28" t="s">
        <v>401</v>
      </c>
      <c r="B117" s="7" t="s">
        <v>402</v>
      </c>
      <c r="C117" s="684">
        <f>C89+C90</f>
        <v>99994</v>
      </c>
      <c r="D117" s="684">
        <f>D89+D90</f>
        <v>99994</v>
      </c>
      <c r="E117" s="684">
        <f>E89+E90</f>
        <v>0</v>
      </c>
      <c r="F117" s="685">
        <f>F89+F90</f>
        <v>0</v>
      </c>
      <c r="M117" s="16"/>
    </row>
    <row r="118" spans="1:22" s="9" customFormat="1" ht="1.2" hidden="1" customHeight="1" x14ac:dyDescent="0.25">
      <c r="A118" s="675"/>
      <c r="B118" s="225"/>
      <c r="C118" s="676">
        <f>C117-'Зм3.1'!R211-'Зм3.1'!R212</f>
        <v>99994</v>
      </c>
      <c r="D118" s="676"/>
      <c r="E118" s="676"/>
      <c r="F118" s="676"/>
      <c r="M118" s="16"/>
    </row>
    <row r="119" spans="1:22" s="9" customFormat="1" ht="34.799999999999997" customHeight="1" x14ac:dyDescent="0.25">
      <c r="A119" s="675"/>
      <c r="B119" s="225"/>
      <c r="C119" s="676"/>
      <c r="D119" s="676"/>
      <c r="E119" s="676"/>
      <c r="F119" s="676"/>
      <c r="M119" s="16"/>
    </row>
    <row r="120" spans="1:22" x14ac:dyDescent="0.3">
      <c r="A120" s="14"/>
      <c r="B120" s="29"/>
      <c r="C120" s="14"/>
      <c r="D120" s="253"/>
      <c r="E120" s="14"/>
      <c r="F120" s="14"/>
      <c r="G120" s="15"/>
      <c r="H120" s="15"/>
      <c r="I120" s="15"/>
      <c r="J120" s="15"/>
      <c r="K120" s="15"/>
      <c r="L120" s="15"/>
      <c r="M120" s="15"/>
      <c r="N120" s="15"/>
      <c r="O120" s="15"/>
      <c r="P120" s="15"/>
      <c r="Q120" s="15"/>
      <c r="R120" s="15"/>
      <c r="S120" s="15"/>
      <c r="T120" s="15"/>
      <c r="U120" s="15"/>
      <c r="V120" s="15"/>
    </row>
    <row r="121" spans="1:22" s="172" customFormat="1" ht="18" x14ac:dyDescent="0.3">
      <c r="A121" s="171" t="s">
        <v>1</v>
      </c>
      <c r="C121" s="254"/>
      <c r="E121" s="171" t="s">
        <v>650</v>
      </c>
      <c r="F121" s="255"/>
      <c r="J121" s="213"/>
      <c r="K121" s="214"/>
      <c r="L121" s="214"/>
      <c r="M121" s="214"/>
      <c r="N121" s="214"/>
      <c r="O121" s="214"/>
      <c r="P121" s="214"/>
      <c r="Q121" s="214"/>
      <c r="R121" s="214"/>
      <c r="S121" s="214"/>
      <c r="T121" s="214"/>
      <c r="U121" s="214"/>
      <c r="V121" s="214"/>
    </row>
    <row r="122" spans="1:22" hidden="1" x14ac:dyDescent="0.3">
      <c r="A122" s="15"/>
      <c r="B122" s="32" t="s">
        <v>670</v>
      </c>
      <c r="C122" s="15">
        <v>189476446</v>
      </c>
      <c r="D122" s="15">
        <v>187738446</v>
      </c>
      <c r="E122" s="15">
        <v>1738000</v>
      </c>
      <c r="F122" s="15">
        <v>100000</v>
      </c>
      <c r="G122" s="15"/>
      <c r="H122" s="15"/>
      <c r="I122" s="15"/>
      <c r="J122" s="15"/>
      <c r="K122" s="15"/>
      <c r="L122" s="15"/>
      <c r="M122" s="15"/>
      <c r="N122" s="15"/>
      <c r="O122" s="15"/>
      <c r="P122" s="15"/>
      <c r="Q122" s="15"/>
      <c r="R122" s="15"/>
      <c r="S122" s="15"/>
      <c r="T122" s="15"/>
      <c r="U122" s="15"/>
      <c r="V122" s="15"/>
    </row>
    <row r="123" spans="1:22" hidden="1" x14ac:dyDescent="0.3">
      <c r="B123" s="32" t="s">
        <v>671</v>
      </c>
      <c r="C123" s="15">
        <v>123300</v>
      </c>
      <c r="D123" s="15">
        <v>123300</v>
      </c>
      <c r="E123" s="15">
        <v>0</v>
      </c>
      <c r="F123" s="15">
        <v>0</v>
      </c>
      <c r="G123" s="15"/>
      <c r="H123" s="15"/>
      <c r="I123" s="15"/>
      <c r="J123" s="15"/>
      <c r="K123" s="15"/>
      <c r="L123" s="15"/>
      <c r="M123" s="15"/>
      <c r="N123" s="15"/>
      <c r="O123" s="15"/>
      <c r="P123" s="15"/>
      <c r="Q123" s="15"/>
      <c r="R123" s="15"/>
      <c r="S123" s="15"/>
      <c r="T123" s="15"/>
      <c r="U123" s="15"/>
      <c r="V123" s="15"/>
    </row>
    <row r="124" spans="1:22" hidden="1" x14ac:dyDescent="0.3">
      <c r="A124" s="15"/>
      <c r="B124" s="32" t="s">
        <v>359</v>
      </c>
      <c r="C124" s="15">
        <f>C123+C122</f>
        <v>189599746</v>
      </c>
      <c r="D124" s="15">
        <f>D123+D122</f>
        <v>187861746</v>
      </c>
      <c r="E124" s="15">
        <f>E123+E122</f>
        <v>1738000</v>
      </c>
      <c r="F124" s="15">
        <f>F123+F122</f>
        <v>100000</v>
      </c>
      <c r="G124" s="15"/>
      <c r="H124" s="15"/>
      <c r="I124" s="15"/>
      <c r="J124" s="15"/>
      <c r="K124" s="15"/>
      <c r="L124" s="15"/>
      <c r="M124" s="15"/>
      <c r="N124" s="15"/>
      <c r="O124" s="15"/>
      <c r="P124" s="15"/>
      <c r="Q124" s="15"/>
      <c r="R124" s="15"/>
      <c r="S124" s="15"/>
      <c r="T124" s="15"/>
      <c r="U124" s="15"/>
      <c r="V124" s="15"/>
    </row>
    <row r="125" spans="1:22" hidden="1" x14ac:dyDescent="0.3">
      <c r="A125" s="15"/>
      <c r="B125" s="32" t="s">
        <v>672</v>
      </c>
      <c r="C125" s="15">
        <v>403700</v>
      </c>
      <c r="D125" s="15">
        <v>403700</v>
      </c>
      <c r="E125" s="15"/>
      <c r="F125" s="15"/>
      <c r="G125" s="15"/>
      <c r="H125" s="15"/>
      <c r="I125" s="15"/>
      <c r="J125" s="15"/>
      <c r="K125" s="15"/>
      <c r="L125" s="15"/>
      <c r="M125" s="15"/>
      <c r="N125" s="15"/>
      <c r="O125" s="15"/>
      <c r="P125" s="15"/>
      <c r="Q125" s="15"/>
      <c r="R125" s="15"/>
      <c r="S125" s="15"/>
      <c r="T125" s="15"/>
      <c r="U125" s="15"/>
      <c r="V125" s="15"/>
    </row>
    <row r="126" spans="1:22" hidden="1" x14ac:dyDescent="0.3">
      <c r="A126" s="15"/>
      <c r="B126" s="32" t="s">
        <v>359</v>
      </c>
      <c r="C126" s="15">
        <f>C124+C125</f>
        <v>190003446</v>
      </c>
      <c r="D126" s="15">
        <f>D124+D125</f>
        <v>188265446</v>
      </c>
      <c r="E126" s="15">
        <f>E124+E125</f>
        <v>1738000</v>
      </c>
      <c r="F126" s="15">
        <f>F124+F125</f>
        <v>100000</v>
      </c>
      <c r="G126" s="15"/>
      <c r="H126" s="15"/>
      <c r="I126" s="15"/>
      <c r="J126" s="15"/>
      <c r="K126" s="15"/>
      <c r="L126" s="15"/>
      <c r="M126" s="15"/>
      <c r="N126" s="15"/>
      <c r="O126" s="15"/>
      <c r="P126" s="15"/>
      <c r="Q126" s="15"/>
      <c r="R126" s="15"/>
      <c r="S126" s="15"/>
      <c r="T126" s="15"/>
      <c r="U126" s="15"/>
      <c r="V126" s="15"/>
    </row>
    <row r="127" spans="1:22" hidden="1" x14ac:dyDescent="0.3">
      <c r="A127" s="15"/>
      <c r="B127" s="32"/>
      <c r="C127" s="15"/>
      <c r="D127" s="15"/>
      <c r="E127" s="15"/>
      <c r="F127" s="15"/>
      <c r="G127" s="15"/>
      <c r="H127" s="15"/>
      <c r="I127" s="15"/>
      <c r="J127" s="15"/>
      <c r="K127" s="15"/>
      <c r="L127" s="15"/>
      <c r="M127" s="15"/>
      <c r="N127" s="15"/>
      <c r="O127" s="15"/>
      <c r="P127" s="15"/>
      <c r="Q127" s="15"/>
      <c r="R127" s="15"/>
      <c r="S127" s="15"/>
      <c r="T127" s="15"/>
      <c r="U127" s="15"/>
      <c r="V127" s="15"/>
    </row>
    <row r="128" spans="1:22" x14ac:dyDescent="0.3">
      <c r="A128" s="15"/>
      <c r="B128" s="32"/>
      <c r="C128" s="15"/>
      <c r="D128" s="15"/>
      <c r="E128" s="15"/>
      <c r="F128" s="15"/>
      <c r="G128" s="15"/>
      <c r="H128" s="15"/>
      <c r="I128" s="15"/>
      <c r="J128" s="15"/>
      <c r="K128" s="15"/>
      <c r="L128" s="15"/>
      <c r="M128" s="15"/>
      <c r="N128" s="15"/>
      <c r="O128" s="15"/>
      <c r="P128" s="15"/>
      <c r="Q128" s="15"/>
      <c r="R128" s="15"/>
      <c r="S128" s="15"/>
      <c r="T128" s="15"/>
      <c r="U128" s="15"/>
      <c r="V128" s="15"/>
    </row>
  </sheetData>
  <mergeCells count="7">
    <mergeCell ref="A7:F7"/>
    <mergeCell ref="A8:E8"/>
    <mergeCell ref="A11:A12"/>
    <mergeCell ref="B11:B12"/>
    <mergeCell ref="C11:C12"/>
    <mergeCell ref="D11:D12"/>
    <mergeCell ref="E11:F11"/>
  </mergeCells>
  <pageMargins left="1.1811023622047245" right="0.39370078740157483" top="0.78740157480314965" bottom="0.78740157480314965" header="0.51181102362204722" footer="0.51181102362204722"/>
  <pageSetup paperSize="9" scale="64" orientation="portrait" horizontalDpi="360" verticalDpi="360" r:id="rId1"/>
  <rowBreaks count="1" manualBreakCount="1">
    <brk id="121" max="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90"/>
  <sheetViews>
    <sheetView showZeros="0" view="pageBreakPreview" zoomScale="80" zoomScaleNormal="96" zoomScaleSheetLayoutView="80" workbookViewId="0">
      <selection activeCell="C4" sqref="C4"/>
    </sheetView>
  </sheetViews>
  <sheetFormatPr defaultColWidth="9.109375" defaultRowHeight="13.2" x14ac:dyDescent="0.3"/>
  <cols>
    <col min="1" max="1" width="11.44140625" style="39" customWidth="1"/>
    <col min="2" max="2" width="55.44140625" style="70" customWidth="1"/>
    <col min="3" max="3" width="16" style="44" customWidth="1"/>
    <col min="4" max="4" width="16.44140625" style="39" customWidth="1"/>
    <col min="5" max="5" width="16" style="39" customWidth="1"/>
    <col min="6" max="6" width="16.109375" style="39" customWidth="1"/>
    <col min="7" max="7" width="14.44140625" style="39" hidden="1" customWidth="1"/>
    <col min="8" max="8" width="36.33203125" style="39" hidden="1" customWidth="1"/>
    <col min="9" max="256" width="9.109375" style="39"/>
    <col min="257" max="257" width="11.44140625" style="39" customWidth="1"/>
    <col min="258" max="258" width="45.6640625" style="39" customWidth="1"/>
    <col min="259" max="259" width="15.44140625" style="39" customWidth="1"/>
    <col min="260" max="260" width="17.88671875" style="39" customWidth="1"/>
    <col min="261" max="261" width="16.44140625" style="39" customWidth="1"/>
    <col min="262" max="262" width="17.109375" style="39" customWidth="1"/>
    <col min="263" max="263" width="14.44140625" style="39" customWidth="1"/>
    <col min="264" max="264" width="36.33203125" style="39" customWidth="1"/>
    <col min="265" max="512" width="9.109375" style="39"/>
    <col min="513" max="513" width="11.44140625" style="39" customWidth="1"/>
    <col min="514" max="514" width="45.6640625" style="39" customWidth="1"/>
    <col min="515" max="515" width="15.44140625" style="39" customWidth="1"/>
    <col min="516" max="516" width="17.88671875" style="39" customWidth="1"/>
    <col min="517" max="517" width="16.44140625" style="39" customWidth="1"/>
    <col min="518" max="518" width="17.109375" style="39" customWidth="1"/>
    <col min="519" max="519" width="14.44140625" style="39" customWidth="1"/>
    <col min="520" max="520" width="36.33203125" style="39" customWidth="1"/>
    <col min="521" max="768" width="9.109375" style="39"/>
    <col min="769" max="769" width="11.44140625" style="39" customWidth="1"/>
    <col min="770" max="770" width="45.6640625" style="39" customWidth="1"/>
    <col min="771" max="771" width="15.44140625" style="39" customWidth="1"/>
    <col min="772" max="772" width="17.88671875" style="39" customWidth="1"/>
    <col min="773" max="773" width="16.44140625" style="39" customWidth="1"/>
    <col min="774" max="774" width="17.109375" style="39" customWidth="1"/>
    <col min="775" max="775" width="14.44140625" style="39" customWidth="1"/>
    <col min="776" max="776" width="36.33203125" style="39" customWidth="1"/>
    <col min="777" max="1024" width="9.109375" style="39"/>
    <col min="1025" max="1025" width="11.44140625" style="39" customWidth="1"/>
    <col min="1026" max="1026" width="45.6640625" style="39" customWidth="1"/>
    <col min="1027" max="1027" width="15.44140625" style="39" customWidth="1"/>
    <col min="1028" max="1028" width="17.88671875" style="39" customWidth="1"/>
    <col min="1029" max="1029" width="16.44140625" style="39" customWidth="1"/>
    <col min="1030" max="1030" width="17.109375" style="39" customWidth="1"/>
    <col min="1031" max="1031" width="14.44140625" style="39" customWidth="1"/>
    <col min="1032" max="1032" width="36.33203125" style="39" customWidth="1"/>
    <col min="1033" max="1280" width="9.109375" style="39"/>
    <col min="1281" max="1281" width="11.44140625" style="39" customWidth="1"/>
    <col min="1282" max="1282" width="45.6640625" style="39" customWidth="1"/>
    <col min="1283" max="1283" width="15.44140625" style="39" customWidth="1"/>
    <col min="1284" max="1284" width="17.88671875" style="39" customWidth="1"/>
    <col min="1285" max="1285" width="16.44140625" style="39" customWidth="1"/>
    <col min="1286" max="1286" width="17.109375" style="39" customWidth="1"/>
    <col min="1287" max="1287" width="14.44140625" style="39" customWidth="1"/>
    <col min="1288" max="1288" width="36.33203125" style="39" customWidth="1"/>
    <col min="1289" max="1536" width="9.109375" style="39"/>
    <col min="1537" max="1537" width="11.44140625" style="39" customWidth="1"/>
    <col min="1538" max="1538" width="45.6640625" style="39" customWidth="1"/>
    <col min="1539" max="1539" width="15.44140625" style="39" customWidth="1"/>
    <col min="1540" max="1540" width="17.88671875" style="39" customWidth="1"/>
    <col min="1541" max="1541" width="16.44140625" style="39" customWidth="1"/>
    <col min="1542" max="1542" width="17.109375" style="39" customWidth="1"/>
    <col min="1543" max="1543" width="14.44140625" style="39" customWidth="1"/>
    <col min="1544" max="1544" width="36.33203125" style="39" customWidth="1"/>
    <col min="1545" max="1792" width="9.109375" style="39"/>
    <col min="1793" max="1793" width="11.44140625" style="39" customWidth="1"/>
    <col min="1794" max="1794" width="45.6640625" style="39" customWidth="1"/>
    <col min="1795" max="1795" width="15.44140625" style="39" customWidth="1"/>
    <col min="1796" max="1796" width="17.88671875" style="39" customWidth="1"/>
    <col min="1797" max="1797" width="16.44140625" style="39" customWidth="1"/>
    <col min="1798" max="1798" width="17.109375" style="39" customWidth="1"/>
    <col min="1799" max="1799" width="14.44140625" style="39" customWidth="1"/>
    <col min="1800" max="1800" width="36.33203125" style="39" customWidth="1"/>
    <col min="1801" max="2048" width="9.109375" style="39"/>
    <col min="2049" max="2049" width="11.44140625" style="39" customWidth="1"/>
    <col min="2050" max="2050" width="45.6640625" style="39" customWidth="1"/>
    <col min="2051" max="2051" width="15.44140625" style="39" customWidth="1"/>
    <col min="2052" max="2052" width="17.88671875" style="39" customWidth="1"/>
    <col min="2053" max="2053" width="16.44140625" style="39" customWidth="1"/>
    <col min="2054" max="2054" width="17.109375" style="39" customWidth="1"/>
    <col min="2055" max="2055" width="14.44140625" style="39" customWidth="1"/>
    <col min="2056" max="2056" width="36.33203125" style="39" customWidth="1"/>
    <col min="2057" max="2304" width="9.109375" style="39"/>
    <col min="2305" max="2305" width="11.44140625" style="39" customWidth="1"/>
    <col min="2306" max="2306" width="45.6640625" style="39" customWidth="1"/>
    <col min="2307" max="2307" width="15.44140625" style="39" customWidth="1"/>
    <col min="2308" max="2308" width="17.88671875" style="39" customWidth="1"/>
    <col min="2309" max="2309" width="16.44140625" style="39" customWidth="1"/>
    <col min="2310" max="2310" width="17.109375" style="39" customWidth="1"/>
    <col min="2311" max="2311" width="14.44140625" style="39" customWidth="1"/>
    <col min="2312" max="2312" width="36.33203125" style="39" customWidth="1"/>
    <col min="2313" max="2560" width="9.109375" style="39"/>
    <col min="2561" max="2561" width="11.44140625" style="39" customWidth="1"/>
    <col min="2562" max="2562" width="45.6640625" style="39" customWidth="1"/>
    <col min="2563" max="2563" width="15.44140625" style="39" customWidth="1"/>
    <col min="2564" max="2564" width="17.88671875" style="39" customWidth="1"/>
    <col min="2565" max="2565" width="16.44140625" style="39" customWidth="1"/>
    <col min="2566" max="2566" width="17.109375" style="39" customWidth="1"/>
    <col min="2567" max="2567" width="14.44140625" style="39" customWidth="1"/>
    <col min="2568" max="2568" width="36.33203125" style="39" customWidth="1"/>
    <col min="2569" max="2816" width="9.109375" style="39"/>
    <col min="2817" max="2817" width="11.44140625" style="39" customWidth="1"/>
    <col min="2818" max="2818" width="45.6640625" style="39" customWidth="1"/>
    <col min="2819" max="2819" width="15.44140625" style="39" customWidth="1"/>
    <col min="2820" max="2820" width="17.88671875" style="39" customWidth="1"/>
    <col min="2821" max="2821" width="16.44140625" style="39" customWidth="1"/>
    <col min="2822" max="2822" width="17.109375" style="39" customWidth="1"/>
    <col min="2823" max="2823" width="14.44140625" style="39" customWidth="1"/>
    <col min="2824" max="2824" width="36.33203125" style="39" customWidth="1"/>
    <col min="2825" max="3072" width="9.109375" style="39"/>
    <col min="3073" max="3073" width="11.44140625" style="39" customWidth="1"/>
    <col min="3074" max="3074" width="45.6640625" style="39" customWidth="1"/>
    <col min="3075" max="3075" width="15.44140625" style="39" customWidth="1"/>
    <col min="3076" max="3076" width="17.88671875" style="39" customWidth="1"/>
    <col min="3077" max="3077" width="16.44140625" style="39" customWidth="1"/>
    <col min="3078" max="3078" width="17.109375" style="39" customWidth="1"/>
    <col min="3079" max="3079" width="14.44140625" style="39" customWidth="1"/>
    <col min="3080" max="3080" width="36.33203125" style="39" customWidth="1"/>
    <col min="3081" max="3328" width="9.109375" style="39"/>
    <col min="3329" max="3329" width="11.44140625" style="39" customWidth="1"/>
    <col min="3330" max="3330" width="45.6640625" style="39" customWidth="1"/>
    <col min="3331" max="3331" width="15.44140625" style="39" customWidth="1"/>
    <col min="3332" max="3332" width="17.88671875" style="39" customWidth="1"/>
    <col min="3333" max="3333" width="16.44140625" style="39" customWidth="1"/>
    <col min="3334" max="3334" width="17.109375" style="39" customWidth="1"/>
    <col min="3335" max="3335" width="14.44140625" style="39" customWidth="1"/>
    <col min="3336" max="3336" width="36.33203125" style="39" customWidth="1"/>
    <col min="3337" max="3584" width="9.109375" style="39"/>
    <col min="3585" max="3585" width="11.44140625" style="39" customWidth="1"/>
    <col min="3586" max="3586" width="45.6640625" style="39" customWidth="1"/>
    <col min="3587" max="3587" width="15.44140625" style="39" customWidth="1"/>
    <col min="3588" max="3588" width="17.88671875" style="39" customWidth="1"/>
    <col min="3589" max="3589" width="16.44140625" style="39" customWidth="1"/>
    <col min="3590" max="3590" width="17.109375" style="39" customWidth="1"/>
    <col min="3591" max="3591" width="14.44140625" style="39" customWidth="1"/>
    <col min="3592" max="3592" width="36.33203125" style="39" customWidth="1"/>
    <col min="3593" max="3840" width="9.109375" style="39"/>
    <col min="3841" max="3841" width="11.44140625" style="39" customWidth="1"/>
    <col min="3842" max="3842" width="45.6640625" style="39" customWidth="1"/>
    <col min="3843" max="3843" width="15.44140625" style="39" customWidth="1"/>
    <col min="3844" max="3844" width="17.88671875" style="39" customWidth="1"/>
    <col min="3845" max="3845" width="16.44140625" style="39" customWidth="1"/>
    <col min="3846" max="3846" width="17.109375" style="39" customWidth="1"/>
    <col min="3847" max="3847" width="14.44140625" style="39" customWidth="1"/>
    <col min="3848" max="3848" width="36.33203125" style="39" customWidth="1"/>
    <col min="3849" max="4096" width="9.109375" style="39"/>
    <col min="4097" max="4097" width="11.44140625" style="39" customWidth="1"/>
    <col min="4098" max="4098" width="45.6640625" style="39" customWidth="1"/>
    <col min="4099" max="4099" width="15.44140625" style="39" customWidth="1"/>
    <col min="4100" max="4100" width="17.88671875" style="39" customWidth="1"/>
    <col min="4101" max="4101" width="16.44140625" style="39" customWidth="1"/>
    <col min="4102" max="4102" width="17.109375" style="39" customWidth="1"/>
    <col min="4103" max="4103" width="14.44140625" style="39" customWidth="1"/>
    <col min="4104" max="4104" width="36.33203125" style="39" customWidth="1"/>
    <col min="4105" max="4352" width="9.109375" style="39"/>
    <col min="4353" max="4353" width="11.44140625" style="39" customWidth="1"/>
    <col min="4354" max="4354" width="45.6640625" style="39" customWidth="1"/>
    <col min="4355" max="4355" width="15.44140625" style="39" customWidth="1"/>
    <col min="4356" max="4356" width="17.88671875" style="39" customWidth="1"/>
    <col min="4357" max="4357" width="16.44140625" style="39" customWidth="1"/>
    <col min="4358" max="4358" width="17.109375" style="39" customWidth="1"/>
    <col min="4359" max="4359" width="14.44140625" style="39" customWidth="1"/>
    <col min="4360" max="4360" width="36.33203125" style="39" customWidth="1"/>
    <col min="4361" max="4608" width="9.109375" style="39"/>
    <col min="4609" max="4609" width="11.44140625" style="39" customWidth="1"/>
    <col min="4610" max="4610" width="45.6640625" style="39" customWidth="1"/>
    <col min="4611" max="4611" width="15.44140625" style="39" customWidth="1"/>
    <col min="4612" max="4612" width="17.88671875" style="39" customWidth="1"/>
    <col min="4613" max="4613" width="16.44140625" style="39" customWidth="1"/>
    <col min="4614" max="4614" width="17.109375" style="39" customWidth="1"/>
    <col min="4615" max="4615" width="14.44140625" style="39" customWidth="1"/>
    <col min="4616" max="4616" width="36.33203125" style="39" customWidth="1"/>
    <col min="4617" max="4864" width="9.109375" style="39"/>
    <col min="4865" max="4865" width="11.44140625" style="39" customWidth="1"/>
    <col min="4866" max="4866" width="45.6640625" style="39" customWidth="1"/>
    <col min="4867" max="4867" width="15.44140625" style="39" customWidth="1"/>
    <col min="4868" max="4868" width="17.88671875" style="39" customWidth="1"/>
    <col min="4869" max="4869" width="16.44140625" style="39" customWidth="1"/>
    <col min="4870" max="4870" width="17.109375" style="39" customWidth="1"/>
    <col min="4871" max="4871" width="14.44140625" style="39" customWidth="1"/>
    <col min="4872" max="4872" width="36.33203125" style="39" customWidth="1"/>
    <col min="4873" max="5120" width="9.109375" style="39"/>
    <col min="5121" max="5121" width="11.44140625" style="39" customWidth="1"/>
    <col min="5122" max="5122" width="45.6640625" style="39" customWidth="1"/>
    <col min="5123" max="5123" width="15.44140625" style="39" customWidth="1"/>
    <col min="5124" max="5124" width="17.88671875" style="39" customWidth="1"/>
    <col min="5125" max="5125" width="16.44140625" style="39" customWidth="1"/>
    <col min="5126" max="5126" width="17.109375" style="39" customWidth="1"/>
    <col min="5127" max="5127" width="14.44140625" style="39" customWidth="1"/>
    <col min="5128" max="5128" width="36.33203125" style="39" customWidth="1"/>
    <col min="5129" max="5376" width="9.109375" style="39"/>
    <col min="5377" max="5377" width="11.44140625" style="39" customWidth="1"/>
    <col min="5378" max="5378" width="45.6640625" style="39" customWidth="1"/>
    <col min="5379" max="5379" width="15.44140625" style="39" customWidth="1"/>
    <col min="5380" max="5380" width="17.88671875" style="39" customWidth="1"/>
    <col min="5381" max="5381" width="16.44140625" style="39" customWidth="1"/>
    <col min="5382" max="5382" width="17.109375" style="39" customWidth="1"/>
    <col min="5383" max="5383" width="14.44140625" style="39" customWidth="1"/>
    <col min="5384" max="5384" width="36.33203125" style="39" customWidth="1"/>
    <col min="5385" max="5632" width="9.109375" style="39"/>
    <col min="5633" max="5633" width="11.44140625" style="39" customWidth="1"/>
    <col min="5634" max="5634" width="45.6640625" style="39" customWidth="1"/>
    <col min="5635" max="5635" width="15.44140625" style="39" customWidth="1"/>
    <col min="5636" max="5636" width="17.88671875" style="39" customWidth="1"/>
    <col min="5637" max="5637" width="16.44140625" style="39" customWidth="1"/>
    <col min="5638" max="5638" width="17.109375" style="39" customWidth="1"/>
    <col min="5639" max="5639" width="14.44140625" style="39" customWidth="1"/>
    <col min="5640" max="5640" width="36.33203125" style="39" customWidth="1"/>
    <col min="5641" max="5888" width="9.109375" style="39"/>
    <col min="5889" max="5889" width="11.44140625" style="39" customWidth="1"/>
    <col min="5890" max="5890" width="45.6640625" style="39" customWidth="1"/>
    <col min="5891" max="5891" width="15.44140625" style="39" customWidth="1"/>
    <col min="5892" max="5892" width="17.88671875" style="39" customWidth="1"/>
    <col min="5893" max="5893" width="16.44140625" style="39" customWidth="1"/>
    <col min="5894" max="5894" width="17.109375" style="39" customWidth="1"/>
    <col min="5895" max="5895" width="14.44140625" style="39" customWidth="1"/>
    <col min="5896" max="5896" width="36.33203125" style="39" customWidth="1"/>
    <col min="5897" max="6144" width="9.109375" style="39"/>
    <col min="6145" max="6145" width="11.44140625" style="39" customWidth="1"/>
    <col min="6146" max="6146" width="45.6640625" style="39" customWidth="1"/>
    <col min="6147" max="6147" width="15.44140625" style="39" customWidth="1"/>
    <col min="6148" max="6148" width="17.88671875" style="39" customWidth="1"/>
    <col min="6149" max="6149" width="16.44140625" style="39" customWidth="1"/>
    <col min="6150" max="6150" width="17.109375" style="39" customWidth="1"/>
    <col min="6151" max="6151" width="14.44140625" style="39" customWidth="1"/>
    <col min="6152" max="6152" width="36.33203125" style="39" customWidth="1"/>
    <col min="6153" max="6400" width="9.109375" style="39"/>
    <col min="6401" max="6401" width="11.44140625" style="39" customWidth="1"/>
    <col min="6402" max="6402" width="45.6640625" style="39" customWidth="1"/>
    <col min="6403" max="6403" width="15.44140625" style="39" customWidth="1"/>
    <col min="6404" max="6404" width="17.88671875" style="39" customWidth="1"/>
    <col min="6405" max="6405" width="16.44140625" style="39" customWidth="1"/>
    <col min="6406" max="6406" width="17.109375" style="39" customWidth="1"/>
    <col min="6407" max="6407" width="14.44140625" style="39" customWidth="1"/>
    <col min="6408" max="6408" width="36.33203125" style="39" customWidth="1"/>
    <col min="6409" max="6656" width="9.109375" style="39"/>
    <col min="6657" max="6657" width="11.44140625" style="39" customWidth="1"/>
    <col min="6658" max="6658" width="45.6640625" style="39" customWidth="1"/>
    <col min="6659" max="6659" width="15.44140625" style="39" customWidth="1"/>
    <col min="6660" max="6660" width="17.88671875" style="39" customWidth="1"/>
    <col min="6661" max="6661" width="16.44140625" style="39" customWidth="1"/>
    <col min="6662" max="6662" width="17.109375" style="39" customWidth="1"/>
    <col min="6663" max="6663" width="14.44140625" style="39" customWidth="1"/>
    <col min="6664" max="6664" width="36.33203125" style="39" customWidth="1"/>
    <col min="6665" max="6912" width="9.109375" style="39"/>
    <col min="6913" max="6913" width="11.44140625" style="39" customWidth="1"/>
    <col min="6914" max="6914" width="45.6640625" style="39" customWidth="1"/>
    <col min="6915" max="6915" width="15.44140625" style="39" customWidth="1"/>
    <col min="6916" max="6916" width="17.88671875" style="39" customWidth="1"/>
    <col min="6917" max="6917" width="16.44140625" style="39" customWidth="1"/>
    <col min="6918" max="6918" width="17.109375" style="39" customWidth="1"/>
    <col min="6919" max="6919" width="14.44140625" style="39" customWidth="1"/>
    <col min="6920" max="6920" width="36.33203125" style="39" customWidth="1"/>
    <col min="6921" max="7168" width="9.109375" style="39"/>
    <col min="7169" max="7169" width="11.44140625" style="39" customWidth="1"/>
    <col min="7170" max="7170" width="45.6640625" style="39" customWidth="1"/>
    <col min="7171" max="7171" width="15.44140625" style="39" customWidth="1"/>
    <col min="7172" max="7172" width="17.88671875" style="39" customWidth="1"/>
    <col min="7173" max="7173" width="16.44140625" style="39" customWidth="1"/>
    <col min="7174" max="7174" width="17.109375" style="39" customWidth="1"/>
    <col min="7175" max="7175" width="14.44140625" style="39" customWidth="1"/>
    <col min="7176" max="7176" width="36.33203125" style="39" customWidth="1"/>
    <col min="7177" max="7424" width="9.109375" style="39"/>
    <col min="7425" max="7425" width="11.44140625" style="39" customWidth="1"/>
    <col min="7426" max="7426" width="45.6640625" style="39" customWidth="1"/>
    <col min="7427" max="7427" width="15.44140625" style="39" customWidth="1"/>
    <col min="7428" max="7428" width="17.88671875" style="39" customWidth="1"/>
    <col min="7429" max="7429" width="16.44140625" style="39" customWidth="1"/>
    <col min="7430" max="7430" width="17.109375" style="39" customWidth="1"/>
    <col min="7431" max="7431" width="14.44140625" style="39" customWidth="1"/>
    <col min="7432" max="7432" width="36.33203125" style="39" customWidth="1"/>
    <col min="7433" max="7680" width="9.109375" style="39"/>
    <col min="7681" max="7681" width="11.44140625" style="39" customWidth="1"/>
    <col min="7682" max="7682" width="45.6640625" style="39" customWidth="1"/>
    <col min="7683" max="7683" width="15.44140625" style="39" customWidth="1"/>
    <col min="7684" max="7684" width="17.88671875" style="39" customWidth="1"/>
    <col min="7685" max="7685" width="16.44140625" style="39" customWidth="1"/>
    <col min="7686" max="7686" width="17.109375" style="39" customWidth="1"/>
    <col min="7687" max="7687" width="14.44140625" style="39" customWidth="1"/>
    <col min="7688" max="7688" width="36.33203125" style="39" customWidth="1"/>
    <col min="7689" max="7936" width="9.109375" style="39"/>
    <col min="7937" max="7937" width="11.44140625" style="39" customWidth="1"/>
    <col min="7938" max="7938" width="45.6640625" style="39" customWidth="1"/>
    <col min="7939" max="7939" width="15.44140625" style="39" customWidth="1"/>
    <col min="7940" max="7940" width="17.88671875" style="39" customWidth="1"/>
    <col min="7941" max="7941" width="16.44140625" style="39" customWidth="1"/>
    <col min="7942" max="7942" width="17.109375" style="39" customWidth="1"/>
    <col min="7943" max="7943" width="14.44140625" style="39" customWidth="1"/>
    <col min="7944" max="7944" width="36.33203125" style="39" customWidth="1"/>
    <col min="7945" max="8192" width="9.109375" style="39"/>
    <col min="8193" max="8193" width="11.44140625" style="39" customWidth="1"/>
    <col min="8194" max="8194" width="45.6640625" style="39" customWidth="1"/>
    <col min="8195" max="8195" width="15.44140625" style="39" customWidth="1"/>
    <col min="8196" max="8196" width="17.88671875" style="39" customWidth="1"/>
    <col min="8197" max="8197" width="16.44140625" style="39" customWidth="1"/>
    <col min="8198" max="8198" width="17.109375" style="39" customWidth="1"/>
    <col min="8199" max="8199" width="14.44140625" style="39" customWidth="1"/>
    <col min="8200" max="8200" width="36.33203125" style="39" customWidth="1"/>
    <col min="8201" max="8448" width="9.109375" style="39"/>
    <col min="8449" max="8449" width="11.44140625" style="39" customWidth="1"/>
    <col min="8450" max="8450" width="45.6640625" style="39" customWidth="1"/>
    <col min="8451" max="8451" width="15.44140625" style="39" customWidth="1"/>
    <col min="8452" max="8452" width="17.88671875" style="39" customWidth="1"/>
    <col min="8453" max="8453" width="16.44140625" style="39" customWidth="1"/>
    <col min="8454" max="8454" width="17.109375" style="39" customWidth="1"/>
    <col min="8455" max="8455" width="14.44140625" style="39" customWidth="1"/>
    <col min="8456" max="8456" width="36.33203125" style="39" customWidth="1"/>
    <col min="8457" max="8704" width="9.109375" style="39"/>
    <col min="8705" max="8705" width="11.44140625" style="39" customWidth="1"/>
    <col min="8706" max="8706" width="45.6640625" style="39" customWidth="1"/>
    <col min="8707" max="8707" width="15.44140625" style="39" customWidth="1"/>
    <col min="8708" max="8708" width="17.88671875" style="39" customWidth="1"/>
    <col min="8709" max="8709" width="16.44140625" style="39" customWidth="1"/>
    <col min="8710" max="8710" width="17.109375" style="39" customWidth="1"/>
    <col min="8711" max="8711" width="14.44140625" style="39" customWidth="1"/>
    <col min="8712" max="8712" width="36.33203125" style="39" customWidth="1"/>
    <col min="8713" max="8960" width="9.109375" style="39"/>
    <col min="8961" max="8961" width="11.44140625" style="39" customWidth="1"/>
    <col min="8962" max="8962" width="45.6640625" style="39" customWidth="1"/>
    <col min="8963" max="8963" width="15.44140625" style="39" customWidth="1"/>
    <col min="8964" max="8964" width="17.88671875" style="39" customWidth="1"/>
    <col min="8965" max="8965" width="16.44140625" style="39" customWidth="1"/>
    <col min="8966" max="8966" width="17.109375" style="39" customWidth="1"/>
    <col min="8967" max="8967" width="14.44140625" style="39" customWidth="1"/>
    <col min="8968" max="8968" width="36.33203125" style="39" customWidth="1"/>
    <col min="8969" max="9216" width="9.109375" style="39"/>
    <col min="9217" max="9217" width="11.44140625" style="39" customWidth="1"/>
    <col min="9218" max="9218" width="45.6640625" style="39" customWidth="1"/>
    <col min="9219" max="9219" width="15.44140625" style="39" customWidth="1"/>
    <col min="9220" max="9220" width="17.88671875" style="39" customWidth="1"/>
    <col min="9221" max="9221" width="16.44140625" style="39" customWidth="1"/>
    <col min="9222" max="9222" width="17.109375" style="39" customWidth="1"/>
    <col min="9223" max="9223" width="14.44140625" style="39" customWidth="1"/>
    <col min="9224" max="9224" width="36.33203125" style="39" customWidth="1"/>
    <col min="9225" max="9472" width="9.109375" style="39"/>
    <col min="9473" max="9473" width="11.44140625" style="39" customWidth="1"/>
    <col min="9474" max="9474" width="45.6640625" style="39" customWidth="1"/>
    <col min="9475" max="9475" width="15.44140625" style="39" customWidth="1"/>
    <col min="9476" max="9476" width="17.88671875" style="39" customWidth="1"/>
    <col min="9477" max="9477" width="16.44140625" style="39" customWidth="1"/>
    <col min="9478" max="9478" width="17.109375" style="39" customWidth="1"/>
    <col min="9479" max="9479" width="14.44140625" style="39" customWidth="1"/>
    <col min="9480" max="9480" width="36.33203125" style="39" customWidth="1"/>
    <col min="9481" max="9728" width="9.109375" style="39"/>
    <col min="9729" max="9729" width="11.44140625" style="39" customWidth="1"/>
    <col min="9730" max="9730" width="45.6640625" style="39" customWidth="1"/>
    <col min="9731" max="9731" width="15.44140625" style="39" customWidth="1"/>
    <col min="9732" max="9732" width="17.88671875" style="39" customWidth="1"/>
    <col min="9733" max="9733" width="16.44140625" style="39" customWidth="1"/>
    <col min="9734" max="9734" width="17.109375" style="39" customWidth="1"/>
    <col min="9735" max="9735" width="14.44140625" style="39" customWidth="1"/>
    <col min="9736" max="9736" width="36.33203125" style="39" customWidth="1"/>
    <col min="9737" max="9984" width="9.109375" style="39"/>
    <col min="9985" max="9985" width="11.44140625" style="39" customWidth="1"/>
    <col min="9986" max="9986" width="45.6640625" style="39" customWidth="1"/>
    <col min="9987" max="9987" width="15.44140625" style="39" customWidth="1"/>
    <col min="9988" max="9988" width="17.88671875" style="39" customWidth="1"/>
    <col min="9989" max="9989" width="16.44140625" style="39" customWidth="1"/>
    <col min="9990" max="9990" width="17.109375" style="39" customWidth="1"/>
    <col min="9991" max="9991" width="14.44140625" style="39" customWidth="1"/>
    <col min="9992" max="9992" width="36.33203125" style="39" customWidth="1"/>
    <col min="9993" max="10240" width="9.109375" style="39"/>
    <col min="10241" max="10241" width="11.44140625" style="39" customWidth="1"/>
    <col min="10242" max="10242" width="45.6640625" style="39" customWidth="1"/>
    <col min="10243" max="10243" width="15.44140625" style="39" customWidth="1"/>
    <col min="10244" max="10244" width="17.88671875" style="39" customWidth="1"/>
    <col min="10245" max="10245" width="16.44140625" style="39" customWidth="1"/>
    <col min="10246" max="10246" width="17.109375" style="39" customWidth="1"/>
    <col min="10247" max="10247" width="14.44140625" style="39" customWidth="1"/>
    <col min="10248" max="10248" width="36.33203125" style="39" customWidth="1"/>
    <col min="10249" max="10496" width="9.109375" style="39"/>
    <col min="10497" max="10497" width="11.44140625" style="39" customWidth="1"/>
    <col min="10498" max="10498" width="45.6640625" style="39" customWidth="1"/>
    <col min="10499" max="10499" width="15.44140625" style="39" customWidth="1"/>
    <col min="10500" max="10500" width="17.88671875" style="39" customWidth="1"/>
    <col min="10501" max="10501" width="16.44140625" style="39" customWidth="1"/>
    <col min="10502" max="10502" width="17.109375" style="39" customWidth="1"/>
    <col min="10503" max="10503" width="14.44140625" style="39" customWidth="1"/>
    <col min="10504" max="10504" width="36.33203125" style="39" customWidth="1"/>
    <col min="10505" max="10752" width="9.109375" style="39"/>
    <col min="10753" max="10753" width="11.44140625" style="39" customWidth="1"/>
    <col min="10754" max="10754" width="45.6640625" style="39" customWidth="1"/>
    <col min="10755" max="10755" width="15.44140625" style="39" customWidth="1"/>
    <col min="10756" max="10756" width="17.88671875" style="39" customWidth="1"/>
    <col min="10757" max="10757" width="16.44140625" style="39" customWidth="1"/>
    <col min="10758" max="10758" width="17.109375" style="39" customWidth="1"/>
    <col min="10759" max="10759" width="14.44140625" style="39" customWidth="1"/>
    <col min="10760" max="10760" width="36.33203125" style="39" customWidth="1"/>
    <col min="10761" max="11008" width="9.109375" style="39"/>
    <col min="11009" max="11009" width="11.44140625" style="39" customWidth="1"/>
    <col min="11010" max="11010" width="45.6640625" style="39" customWidth="1"/>
    <col min="11011" max="11011" width="15.44140625" style="39" customWidth="1"/>
    <col min="11012" max="11012" width="17.88671875" style="39" customWidth="1"/>
    <col min="11013" max="11013" width="16.44140625" style="39" customWidth="1"/>
    <col min="11014" max="11014" width="17.109375" style="39" customWidth="1"/>
    <col min="11015" max="11015" width="14.44140625" style="39" customWidth="1"/>
    <col min="11016" max="11016" width="36.33203125" style="39" customWidth="1"/>
    <col min="11017" max="11264" width="9.109375" style="39"/>
    <col min="11265" max="11265" width="11.44140625" style="39" customWidth="1"/>
    <col min="11266" max="11266" width="45.6640625" style="39" customWidth="1"/>
    <col min="11267" max="11267" width="15.44140625" style="39" customWidth="1"/>
    <col min="11268" max="11268" width="17.88671875" style="39" customWidth="1"/>
    <col min="11269" max="11269" width="16.44140625" style="39" customWidth="1"/>
    <col min="11270" max="11270" width="17.109375" style="39" customWidth="1"/>
    <col min="11271" max="11271" width="14.44140625" style="39" customWidth="1"/>
    <col min="11272" max="11272" width="36.33203125" style="39" customWidth="1"/>
    <col min="11273" max="11520" width="9.109375" style="39"/>
    <col min="11521" max="11521" width="11.44140625" style="39" customWidth="1"/>
    <col min="11522" max="11522" width="45.6640625" style="39" customWidth="1"/>
    <col min="11523" max="11523" width="15.44140625" style="39" customWidth="1"/>
    <col min="11524" max="11524" width="17.88671875" style="39" customWidth="1"/>
    <col min="11525" max="11525" width="16.44140625" style="39" customWidth="1"/>
    <col min="11526" max="11526" width="17.109375" style="39" customWidth="1"/>
    <col min="11527" max="11527" width="14.44140625" style="39" customWidth="1"/>
    <col min="11528" max="11528" width="36.33203125" style="39" customWidth="1"/>
    <col min="11529" max="11776" width="9.109375" style="39"/>
    <col min="11777" max="11777" width="11.44140625" style="39" customWidth="1"/>
    <col min="11778" max="11778" width="45.6640625" style="39" customWidth="1"/>
    <col min="11779" max="11779" width="15.44140625" style="39" customWidth="1"/>
    <col min="11780" max="11780" width="17.88671875" style="39" customWidth="1"/>
    <col min="11781" max="11781" width="16.44140625" style="39" customWidth="1"/>
    <col min="11782" max="11782" width="17.109375" style="39" customWidth="1"/>
    <col min="11783" max="11783" width="14.44140625" style="39" customWidth="1"/>
    <col min="11784" max="11784" width="36.33203125" style="39" customWidth="1"/>
    <col min="11785" max="12032" width="9.109375" style="39"/>
    <col min="12033" max="12033" width="11.44140625" style="39" customWidth="1"/>
    <col min="12034" max="12034" width="45.6640625" style="39" customWidth="1"/>
    <col min="12035" max="12035" width="15.44140625" style="39" customWidth="1"/>
    <col min="12036" max="12036" width="17.88671875" style="39" customWidth="1"/>
    <col min="12037" max="12037" width="16.44140625" style="39" customWidth="1"/>
    <col min="12038" max="12038" width="17.109375" style="39" customWidth="1"/>
    <col min="12039" max="12039" width="14.44140625" style="39" customWidth="1"/>
    <col min="12040" max="12040" width="36.33203125" style="39" customWidth="1"/>
    <col min="12041" max="12288" width="9.109375" style="39"/>
    <col min="12289" max="12289" width="11.44140625" style="39" customWidth="1"/>
    <col min="12290" max="12290" width="45.6640625" style="39" customWidth="1"/>
    <col min="12291" max="12291" width="15.44140625" style="39" customWidth="1"/>
    <col min="12292" max="12292" width="17.88671875" style="39" customWidth="1"/>
    <col min="12293" max="12293" width="16.44140625" style="39" customWidth="1"/>
    <col min="12294" max="12294" width="17.109375" style="39" customWidth="1"/>
    <col min="12295" max="12295" width="14.44140625" style="39" customWidth="1"/>
    <col min="12296" max="12296" width="36.33203125" style="39" customWidth="1"/>
    <col min="12297" max="12544" width="9.109375" style="39"/>
    <col min="12545" max="12545" width="11.44140625" style="39" customWidth="1"/>
    <col min="12546" max="12546" width="45.6640625" style="39" customWidth="1"/>
    <col min="12547" max="12547" width="15.44140625" style="39" customWidth="1"/>
    <col min="12548" max="12548" width="17.88671875" style="39" customWidth="1"/>
    <col min="12549" max="12549" width="16.44140625" style="39" customWidth="1"/>
    <col min="12550" max="12550" width="17.109375" style="39" customWidth="1"/>
    <col min="12551" max="12551" width="14.44140625" style="39" customWidth="1"/>
    <col min="12552" max="12552" width="36.33203125" style="39" customWidth="1"/>
    <col min="12553" max="12800" width="9.109375" style="39"/>
    <col min="12801" max="12801" width="11.44140625" style="39" customWidth="1"/>
    <col min="12802" max="12802" width="45.6640625" style="39" customWidth="1"/>
    <col min="12803" max="12803" width="15.44140625" style="39" customWidth="1"/>
    <col min="12804" max="12804" width="17.88671875" style="39" customWidth="1"/>
    <col min="12805" max="12805" width="16.44140625" style="39" customWidth="1"/>
    <col min="12806" max="12806" width="17.109375" style="39" customWidth="1"/>
    <col min="12807" max="12807" width="14.44140625" style="39" customWidth="1"/>
    <col min="12808" max="12808" width="36.33203125" style="39" customWidth="1"/>
    <col min="12809" max="13056" width="9.109375" style="39"/>
    <col min="13057" max="13057" width="11.44140625" style="39" customWidth="1"/>
    <col min="13058" max="13058" width="45.6640625" style="39" customWidth="1"/>
    <col min="13059" max="13059" width="15.44140625" style="39" customWidth="1"/>
    <col min="13060" max="13060" width="17.88671875" style="39" customWidth="1"/>
    <col min="13061" max="13061" width="16.44140625" style="39" customWidth="1"/>
    <col min="13062" max="13062" width="17.109375" style="39" customWidth="1"/>
    <col min="13063" max="13063" width="14.44140625" style="39" customWidth="1"/>
    <col min="13064" max="13064" width="36.33203125" style="39" customWidth="1"/>
    <col min="13065" max="13312" width="9.109375" style="39"/>
    <col min="13313" max="13313" width="11.44140625" style="39" customWidth="1"/>
    <col min="13314" max="13314" width="45.6640625" style="39" customWidth="1"/>
    <col min="13315" max="13315" width="15.44140625" style="39" customWidth="1"/>
    <col min="13316" max="13316" width="17.88671875" style="39" customWidth="1"/>
    <col min="13317" max="13317" width="16.44140625" style="39" customWidth="1"/>
    <col min="13318" max="13318" width="17.109375" style="39" customWidth="1"/>
    <col min="13319" max="13319" width="14.44140625" style="39" customWidth="1"/>
    <col min="13320" max="13320" width="36.33203125" style="39" customWidth="1"/>
    <col min="13321" max="13568" width="9.109375" style="39"/>
    <col min="13569" max="13569" width="11.44140625" style="39" customWidth="1"/>
    <col min="13570" max="13570" width="45.6640625" style="39" customWidth="1"/>
    <col min="13571" max="13571" width="15.44140625" style="39" customWidth="1"/>
    <col min="13572" max="13572" width="17.88671875" style="39" customWidth="1"/>
    <col min="13573" max="13573" width="16.44140625" style="39" customWidth="1"/>
    <col min="13574" max="13574" width="17.109375" style="39" customWidth="1"/>
    <col min="13575" max="13575" width="14.44140625" style="39" customWidth="1"/>
    <col min="13576" max="13576" width="36.33203125" style="39" customWidth="1"/>
    <col min="13577" max="13824" width="9.109375" style="39"/>
    <col min="13825" max="13825" width="11.44140625" style="39" customWidth="1"/>
    <col min="13826" max="13826" width="45.6640625" style="39" customWidth="1"/>
    <col min="13827" max="13827" width="15.44140625" style="39" customWidth="1"/>
    <col min="13828" max="13828" width="17.88671875" style="39" customWidth="1"/>
    <col min="13829" max="13829" width="16.44140625" style="39" customWidth="1"/>
    <col min="13830" max="13830" width="17.109375" style="39" customWidth="1"/>
    <col min="13831" max="13831" width="14.44140625" style="39" customWidth="1"/>
    <col min="13832" max="13832" width="36.33203125" style="39" customWidth="1"/>
    <col min="13833" max="14080" width="9.109375" style="39"/>
    <col min="14081" max="14081" width="11.44140625" style="39" customWidth="1"/>
    <col min="14082" max="14082" width="45.6640625" style="39" customWidth="1"/>
    <col min="14083" max="14083" width="15.44140625" style="39" customWidth="1"/>
    <col min="14084" max="14084" width="17.88671875" style="39" customWidth="1"/>
    <col min="14085" max="14085" width="16.44140625" style="39" customWidth="1"/>
    <col min="14086" max="14086" width="17.109375" style="39" customWidth="1"/>
    <col min="14087" max="14087" width="14.44140625" style="39" customWidth="1"/>
    <col min="14088" max="14088" width="36.33203125" style="39" customWidth="1"/>
    <col min="14089" max="14336" width="9.109375" style="39"/>
    <col min="14337" max="14337" width="11.44140625" style="39" customWidth="1"/>
    <col min="14338" max="14338" width="45.6640625" style="39" customWidth="1"/>
    <col min="14339" max="14339" width="15.44140625" style="39" customWidth="1"/>
    <col min="14340" max="14340" width="17.88671875" style="39" customWidth="1"/>
    <col min="14341" max="14341" width="16.44140625" style="39" customWidth="1"/>
    <col min="14342" max="14342" width="17.109375" style="39" customWidth="1"/>
    <col min="14343" max="14343" width="14.44140625" style="39" customWidth="1"/>
    <col min="14344" max="14344" width="36.33203125" style="39" customWidth="1"/>
    <col min="14345" max="14592" width="9.109375" style="39"/>
    <col min="14593" max="14593" width="11.44140625" style="39" customWidth="1"/>
    <col min="14594" max="14594" width="45.6640625" style="39" customWidth="1"/>
    <col min="14595" max="14595" width="15.44140625" style="39" customWidth="1"/>
    <col min="14596" max="14596" width="17.88671875" style="39" customWidth="1"/>
    <col min="14597" max="14597" width="16.44140625" style="39" customWidth="1"/>
    <col min="14598" max="14598" width="17.109375" style="39" customWidth="1"/>
    <col min="14599" max="14599" width="14.44140625" style="39" customWidth="1"/>
    <col min="14600" max="14600" width="36.33203125" style="39" customWidth="1"/>
    <col min="14601" max="14848" width="9.109375" style="39"/>
    <col min="14849" max="14849" width="11.44140625" style="39" customWidth="1"/>
    <col min="14850" max="14850" width="45.6640625" style="39" customWidth="1"/>
    <col min="14851" max="14851" width="15.44140625" style="39" customWidth="1"/>
    <col min="14852" max="14852" width="17.88671875" style="39" customWidth="1"/>
    <col min="14853" max="14853" width="16.44140625" style="39" customWidth="1"/>
    <col min="14854" max="14854" width="17.109375" style="39" customWidth="1"/>
    <col min="14855" max="14855" width="14.44140625" style="39" customWidth="1"/>
    <col min="14856" max="14856" width="36.33203125" style="39" customWidth="1"/>
    <col min="14857" max="15104" width="9.109375" style="39"/>
    <col min="15105" max="15105" width="11.44140625" style="39" customWidth="1"/>
    <col min="15106" max="15106" width="45.6640625" style="39" customWidth="1"/>
    <col min="15107" max="15107" width="15.44140625" style="39" customWidth="1"/>
    <col min="15108" max="15108" width="17.88671875" style="39" customWidth="1"/>
    <col min="15109" max="15109" width="16.44140625" style="39" customWidth="1"/>
    <col min="15110" max="15110" width="17.109375" style="39" customWidth="1"/>
    <col min="15111" max="15111" width="14.44140625" style="39" customWidth="1"/>
    <col min="15112" max="15112" width="36.33203125" style="39" customWidth="1"/>
    <col min="15113" max="15360" width="9.109375" style="39"/>
    <col min="15361" max="15361" width="11.44140625" style="39" customWidth="1"/>
    <col min="15362" max="15362" width="45.6640625" style="39" customWidth="1"/>
    <col min="15363" max="15363" width="15.44140625" style="39" customWidth="1"/>
    <col min="15364" max="15364" width="17.88671875" style="39" customWidth="1"/>
    <col min="15365" max="15365" width="16.44140625" style="39" customWidth="1"/>
    <col min="15366" max="15366" width="17.109375" style="39" customWidth="1"/>
    <col min="15367" max="15367" width="14.44140625" style="39" customWidth="1"/>
    <col min="15368" max="15368" width="36.33203125" style="39" customWidth="1"/>
    <col min="15369" max="15616" width="9.109375" style="39"/>
    <col min="15617" max="15617" width="11.44140625" style="39" customWidth="1"/>
    <col min="15618" max="15618" width="45.6640625" style="39" customWidth="1"/>
    <col min="15619" max="15619" width="15.44140625" style="39" customWidth="1"/>
    <col min="15620" max="15620" width="17.88671875" style="39" customWidth="1"/>
    <col min="15621" max="15621" width="16.44140625" style="39" customWidth="1"/>
    <col min="15622" max="15622" width="17.109375" style="39" customWidth="1"/>
    <col min="15623" max="15623" width="14.44140625" style="39" customWidth="1"/>
    <col min="15624" max="15624" width="36.33203125" style="39" customWidth="1"/>
    <col min="15625" max="15872" width="9.109375" style="39"/>
    <col min="15873" max="15873" width="11.44140625" style="39" customWidth="1"/>
    <col min="15874" max="15874" width="45.6640625" style="39" customWidth="1"/>
    <col min="15875" max="15875" width="15.44140625" style="39" customWidth="1"/>
    <col min="15876" max="15876" width="17.88671875" style="39" customWidth="1"/>
    <col min="15877" max="15877" width="16.44140625" style="39" customWidth="1"/>
    <col min="15878" max="15878" width="17.109375" style="39" customWidth="1"/>
    <col min="15879" max="15879" width="14.44140625" style="39" customWidth="1"/>
    <col min="15880" max="15880" width="36.33203125" style="39" customWidth="1"/>
    <col min="15881" max="16128" width="9.109375" style="39"/>
    <col min="16129" max="16129" width="11.44140625" style="39" customWidth="1"/>
    <col min="16130" max="16130" width="45.6640625" style="39" customWidth="1"/>
    <col min="16131" max="16131" width="15.44140625" style="39" customWidth="1"/>
    <col min="16132" max="16132" width="17.88671875" style="39" customWidth="1"/>
    <col min="16133" max="16133" width="16.44140625" style="39" customWidth="1"/>
    <col min="16134" max="16134" width="17.109375" style="39" customWidth="1"/>
    <col min="16135" max="16135" width="14.44140625" style="39" customWidth="1"/>
    <col min="16136" max="16136" width="36.33203125" style="39" customWidth="1"/>
    <col min="16137" max="16384" width="9.109375" style="39"/>
  </cols>
  <sheetData>
    <row r="1" spans="1:7" s="159" customFormat="1" ht="15.6" x14ac:dyDescent="0.3">
      <c r="A1" s="1"/>
      <c r="B1" s="1"/>
      <c r="C1" s="4" t="s">
        <v>403</v>
      </c>
      <c r="D1" s="4"/>
      <c r="E1" s="4"/>
      <c r="F1" s="4"/>
      <c r="G1" s="2"/>
    </row>
    <row r="2" spans="1:7" s="159" customFormat="1" ht="18" x14ac:dyDescent="0.35">
      <c r="A2" s="1"/>
      <c r="B2" s="3"/>
      <c r="C2" s="4" t="s">
        <v>612</v>
      </c>
      <c r="D2" s="4"/>
      <c r="E2" s="4"/>
      <c r="F2" s="4"/>
      <c r="G2" s="2"/>
    </row>
    <row r="3" spans="1:7" s="159" customFormat="1" ht="18" x14ac:dyDescent="0.35">
      <c r="A3" s="1"/>
      <c r="B3" s="3"/>
      <c r="C3" s="4" t="s">
        <v>1105</v>
      </c>
      <c r="D3" s="4"/>
      <c r="E3" s="4"/>
      <c r="F3" s="4"/>
      <c r="G3" s="2"/>
    </row>
    <row r="4" spans="1:7" s="159" customFormat="1" ht="15.6" x14ac:dyDescent="0.3">
      <c r="A4" s="1"/>
      <c r="B4" s="1"/>
      <c r="C4" s="5" t="s">
        <v>1460</v>
      </c>
      <c r="D4" s="5"/>
      <c r="E4" s="223"/>
      <c r="F4" s="223"/>
      <c r="G4" s="2"/>
    </row>
    <row r="5" spans="1:7" s="159" customFormat="1" ht="15.6" x14ac:dyDescent="0.3">
      <c r="A5" s="1"/>
      <c r="B5" s="1"/>
      <c r="C5" s="5"/>
      <c r="D5" s="5"/>
      <c r="E5" s="223"/>
      <c r="F5" s="223"/>
      <c r="G5" s="2"/>
    </row>
    <row r="6" spans="1:7" s="33" customFormat="1" ht="16.8" x14ac:dyDescent="0.3">
      <c r="A6" s="1310" t="s">
        <v>404</v>
      </c>
      <c r="B6" s="1310"/>
      <c r="C6" s="1310"/>
      <c r="D6" s="1310"/>
      <c r="E6" s="1310"/>
      <c r="F6" s="1310"/>
    </row>
    <row r="7" spans="1:7" s="33" customFormat="1" ht="23.25" customHeight="1" x14ac:dyDescent="0.3">
      <c r="A7" s="1311" t="s">
        <v>1165</v>
      </c>
      <c r="B7" s="1311"/>
      <c r="C7" s="1311"/>
      <c r="D7" s="1311"/>
      <c r="E7" s="1311"/>
      <c r="F7" s="1311"/>
      <c r="G7" s="34"/>
    </row>
    <row r="8" spans="1:7" s="33" customFormat="1" ht="15.75" customHeight="1" x14ac:dyDescent="0.3">
      <c r="A8" s="256"/>
      <c r="B8" s="257">
        <v>1150300000</v>
      </c>
      <c r="C8" s="256"/>
      <c r="D8" s="256"/>
      <c r="E8" s="256"/>
      <c r="F8" s="256"/>
      <c r="G8" s="34"/>
    </row>
    <row r="9" spans="1:7" s="36" customFormat="1" ht="16.5" customHeight="1" thickBot="1" x14ac:dyDescent="0.35">
      <c r="A9" s="258"/>
      <c r="B9" s="257" t="s">
        <v>252</v>
      </c>
      <c r="C9" s="259"/>
      <c r="D9" s="259"/>
      <c r="E9" s="259"/>
      <c r="F9" s="260" t="s">
        <v>624</v>
      </c>
      <c r="G9" s="35"/>
    </row>
    <row r="10" spans="1:7" s="40" customFormat="1" ht="24.75" customHeight="1" thickBot="1" x14ac:dyDescent="0.35">
      <c r="A10" s="1312" t="s">
        <v>405</v>
      </c>
      <c r="B10" s="1314" t="s">
        <v>673</v>
      </c>
      <c r="C10" s="1316" t="s">
        <v>3</v>
      </c>
      <c r="D10" s="1318" t="s">
        <v>245</v>
      </c>
      <c r="E10" s="1320" t="s">
        <v>244</v>
      </c>
      <c r="F10" s="1321"/>
    </row>
    <row r="11" spans="1:7" s="40" customFormat="1" ht="55.5" customHeight="1" thickBot="1" x14ac:dyDescent="0.35">
      <c r="A11" s="1313"/>
      <c r="B11" s="1315"/>
      <c r="C11" s="1317"/>
      <c r="D11" s="1319"/>
      <c r="E11" s="261" t="s">
        <v>246</v>
      </c>
      <c r="F11" s="262" t="s">
        <v>242</v>
      </c>
      <c r="G11" s="41"/>
    </row>
    <row r="12" spans="1:7" s="40" customFormat="1" ht="13.5" customHeight="1" thickBot="1" x14ac:dyDescent="0.35">
      <c r="A12" s="411">
        <v>1</v>
      </c>
      <c r="B12" s="263">
        <v>2</v>
      </c>
      <c r="C12" s="263">
        <v>3</v>
      </c>
      <c r="D12" s="412">
        <v>4</v>
      </c>
      <c r="E12" s="263">
        <v>5</v>
      </c>
      <c r="F12" s="413">
        <v>6</v>
      </c>
      <c r="G12" s="41"/>
    </row>
    <row r="13" spans="1:7" s="40" customFormat="1" ht="17.399999999999999" thickBot="1" x14ac:dyDescent="0.35">
      <c r="A13" s="1304" t="s">
        <v>406</v>
      </c>
      <c r="B13" s="1305"/>
      <c r="C13" s="1305"/>
      <c r="D13" s="1305"/>
      <c r="E13" s="1305"/>
      <c r="F13" s="1306"/>
      <c r="G13" s="41"/>
    </row>
    <row r="14" spans="1:7" s="40" customFormat="1" ht="16.8" x14ac:dyDescent="0.3">
      <c r="A14" s="520">
        <v>200000</v>
      </c>
      <c r="B14" s="511" t="s">
        <v>407</v>
      </c>
      <c r="C14" s="512">
        <f>SUM(D14:E14)</f>
        <v>26030581.310000002</v>
      </c>
      <c r="D14" s="513">
        <f>D15</f>
        <v>6733412.8000000026</v>
      </c>
      <c r="E14" s="513">
        <f>E15</f>
        <v>19297168.509999998</v>
      </c>
      <c r="F14" s="521">
        <f>F15</f>
        <v>16521492.199999999</v>
      </c>
      <c r="G14" s="42"/>
    </row>
    <row r="15" spans="1:7" s="44" customFormat="1" ht="33.75" customHeight="1" x14ac:dyDescent="0.3">
      <c r="A15" s="522">
        <v>208000</v>
      </c>
      <c r="B15" s="493" t="s">
        <v>408</v>
      </c>
      <c r="C15" s="494">
        <f t="shared" ref="C15:C38" si="0">SUM(D15:E15)</f>
        <v>26030581.310000002</v>
      </c>
      <c r="D15" s="495">
        <f>D19-D23+D31+D27</f>
        <v>6733412.8000000026</v>
      </c>
      <c r="E15" s="495">
        <f>E19-E23+E31+E27</f>
        <v>19297168.509999998</v>
      </c>
      <c r="F15" s="495">
        <f>F19-F23+F31+F27</f>
        <v>16521492.199999999</v>
      </c>
      <c r="G15" s="43"/>
    </row>
    <row r="16" spans="1:7" s="46" customFormat="1" ht="37.5" customHeight="1" x14ac:dyDescent="0.3">
      <c r="A16" s="522"/>
      <c r="B16" s="493" t="s">
        <v>409</v>
      </c>
      <c r="C16" s="494">
        <f t="shared" si="0"/>
        <v>26030581.310000002</v>
      </c>
      <c r="D16" s="495">
        <f>D19-D23</f>
        <v>23054386.690000001</v>
      </c>
      <c r="E16" s="495">
        <f>E19-E23</f>
        <v>2976194.62</v>
      </c>
      <c r="F16" s="523">
        <f>F19-F23</f>
        <v>200518.31</v>
      </c>
      <c r="G16" s="45"/>
    </row>
    <row r="17" spans="1:8" s="48" customFormat="1" ht="33.6" x14ac:dyDescent="0.3">
      <c r="A17" s="524"/>
      <c r="B17" s="496" t="s">
        <v>410</v>
      </c>
      <c r="C17" s="497">
        <f t="shared" si="0"/>
        <v>2657693.33</v>
      </c>
      <c r="D17" s="498">
        <f>D20-D26</f>
        <v>0</v>
      </c>
      <c r="E17" s="498">
        <f>E20-E26</f>
        <v>2657693.33</v>
      </c>
      <c r="F17" s="525">
        <f>F20-F26</f>
        <v>0</v>
      </c>
      <c r="G17" s="47"/>
    </row>
    <row r="18" spans="1:8" s="48" customFormat="1" ht="16.8" x14ac:dyDescent="0.3">
      <c r="A18" s="524"/>
      <c r="B18" s="496" t="s">
        <v>1156</v>
      </c>
      <c r="C18" s="497">
        <f t="shared" si="0"/>
        <v>2493168.5699999998</v>
      </c>
      <c r="D18" s="498">
        <f>D22-D26</f>
        <v>2493168.5699999998</v>
      </c>
      <c r="E18" s="498"/>
      <c r="F18" s="525"/>
      <c r="G18" s="47"/>
    </row>
    <row r="19" spans="1:8" s="40" customFormat="1" ht="16.8" x14ac:dyDescent="0.3">
      <c r="A19" s="526">
        <v>208100</v>
      </c>
      <c r="B19" s="499" t="s">
        <v>411</v>
      </c>
      <c r="C19" s="491">
        <f t="shared" si="0"/>
        <v>26709332.68</v>
      </c>
      <c r="D19" s="500">
        <v>23560579.640000001</v>
      </c>
      <c r="E19" s="500">
        <v>3148753.04</v>
      </c>
      <c r="F19" s="527">
        <v>200518.31</v>
      </c>
      <c r="G19" s="42"/>
    </row>
    <row r="20" spans="1:8" s="40" customFormat="1" ht="33.6" x14ac:dyDescent="0.3">
      <c r="A20" s="526"/>
      <c r="B20" s="496" t="s">
        <v>410</v>
      </c>
      <c r="C20" s="494">
        <f t="shared" si="0"/>
        <v>2657693.33</v>
      </c>
      <c r="D20" s="500"/>
      <c r="E20" s="500">
        <f>1269793.33+1387900</f>
        <v>2657693.33</v>
      </c>
      <c r="F20" s="527">
        <v>0</v>
      </c>
      <c r="G20" s="42"/>
    </row>
    <row r="21" spans="1:8" s="40" customFormat="1" ht="33.6" hidden="1" x14ac:dyDescent="0.3">
      <c r="A21" s="526"/>
      <c r="B21" s="496" t="s">
        <v>674</v>
      </c>
      <c r="C21" s="494"/>
      <c r="D21" s="500"/>
      <c r="E21" s="500"/>
      <c r="F21" s="527"/>
      <c r="G21" s="42"/>
    </row>
    <row r="22" spans="1:8" s="46" customFormat="1" ht="19.2" customHeight="1" x14ac:dyDescent="0.3">
      <c r="A22" s="524"/>
      <c r="B22" s="496" t="s">
        <v>1156</v>
      </c>
      <c r="C22" s="494">
        <f t="shared" si="0"/>
        <v>2493168.5699999998</v>
      </c>
      <c r="D22" s="498">
        <f>2411625.57+81543</f>
        <v>2493168.5699999998</v>
      </c>
      <c r="E22" s="498"/>
      <c r="F22" s="525"/>
      <c r="G22" s="45"/>
    </row>
    <row r="23" spans="1:8" s="40" customFormat="1" ht="16.8" x14ac:dyDescent="0.3">
      <c r="A23" s="526">
        <v>208200</v>
      </c>
      <c r="B23" s="499" t="s">
        <v>412</v>
      </c>
      <c r="C23" s="491">
        <f t="shared" si="0"/>
        <v>678751.37000000011</v>
      </c>
      <c r="D23" s="500">
        <f>23560579.64-13593818-80000-4763104-4509064.69-108400</f>
        <v>506192.95000000019</v>
      </c>
      <c r="E23" s="500">
        <f>3148753.04-2798676.31-177518.31</f>
        <v>172558.41999999998</v>
      </c>
      <c r="F23" s="527">
        <f>200518.31-23000-177518.31</f>
        <v>0</v>
      </c>
      <c r="G23" s="49">
        <f>D23-D24-190000-207.99</f>
        <v>315984.9600000002</v>
      </c>
    </row>
    <row r="24" spans="1:8" s="46" customFormat="1" ht="33" customHeight="1" x14ac:dyDescent="0.3">
      <c r="A24" s="524"/>
      <c r="B24" s="496" t="s">
        <v>410</v>
      </c>
      <c r="C24" s="494">
        <f t="shared" si="0"/>
        <v>0</v>
      </c>
      <c r="D24" s="500"/>
      <c r="E24" s="500">
        <f>2657693.33-2657693.33</f>
        <v>0</v>
      </c>
      <c r="F24" s="527"/>
      <c r="G24" s="50">
        <v>1000000</v>
      </c>
    </row>
    <row r="25" spans="1:8" s="46" customFormat="1" ht="33" hidden="1" customHeight="1" x14ac:dyDescent="0.3">
      <c r="A25" s="524"/>
      <c r="B25" s="496" t="s">
        <v>674</v>
      </c>
      <c r="C25" s="494"/>
      <c r="D25" s="500"/>
      <c r="E25" s="500"/>
      <c r="F25" s="527"/>
      <c r="G25" s="50"/>
    </row>
    <row r="26" spans="1:8" s="46" customFormat="1" ht="16.8" x14ac:dyDescent="0.3">
      <c r="A26" s="524"/>
      <c r="B26" s="496" t="s">
        <v>1156</v>
      </c>
      <c r="C26" s="491">
        <f t="shared" si="0"/>
        <v>0</v>
      </c>
      <c r="D26" s="498">
        <f>2411625.57+81543-81543-458474-1953151.57</f>
        <v>0</v>
      </c>
      <c r="E26" s="500">
        <f>5295537.99-986818-4308719.99</f>
        <v>0</v>
      </c>
      <c r="F26" s="527">
        <f>5295537.99-986818-4308719.99</f>
        <v>0</v>
      </c>
      <c r="G26" s="50"/>
      <c r="H26" s="264"/>
    </row>
    <row r="27" spans="1:8" s="46" customFormat="1" ht="33.6" x14ac:dyDescent="0.3">
      <c r="A27" s="528">
        <v>208320</v>
      </c>
      <c r="B27" s="1117" t="s">
        <v>1155</v>
      </c>
      <c r="C27" s="515"/>
      <c r="D27" s="500">
        <f>-E27</f>
        <v>23000</v>
      </c>
      <c r="E27" s="500">
        <v>-23000</v>
      </c>
      <c r="F27" s="529">
        <f>E27</f>
        <v>-23000</v>
      </c>
      <c r="G27" s="50"/>
      <c r="H27" s="264"/>
    </row>
    <row r="28" spans="1:8" s="46" customFormat="1" ht="16.8" hidden="1" x14ac:dyDescent="0.3">
      <c r="A28" s="524"/>
      <c r="B28" s="503" t="s">
        <v>99</v>
      </c>
      <c r="C28" s="491"/>
      <c r="D28" s="500"/>
      <c r="E28" s="500"/>
      <c r="F28" s="527"/>
      <c r="G28" s="50"/>
      <c r="H28" s="264"/>
    </row>
    <row r="29" spans="1:8" s="46" customFormat="1" ht="16.8" hidden="1" x14ac:dyDescent="0.3">
      <c r="A29" s="524"/>
      <c r="B29" s="503" t="s">
        <v>414</v>
      </c>
      <c r="C29" s="491"/>
      <c r="D29" s="500"/>
      <c r="E29" s="500"/>
      <c r="F29" s="527"/>
      <c r="G29" s="50"/>
      <c r="H29" s="264"/>
    </row>
    <row r="30" spans="1:8" s="46" customFormat="1" ht="16.8" hidden="1" x14ac:dyDescent="0.3">
      <c r="A30" s="524"/>
      <c r="B30" s="514" t="s">
        <v>581</v>
      </c>
      <c r="C30" s="491"/>
      <c r="D30" s="500"/>
      <c r="E30" s="500"/>
      <c r="F30" s="527"/>
      <c r="G30" s="50"/>
      <c r="H30" s="264"/>
    </row>
    <row r="31" spans="1:8" s="52" customFormat="1" ht="37.5" customHeight="1" x14ac:dyDescent="0.3">
      <c r="A31" s="528">
        <v>208400</v>
      </c>
      <c r="B31" s="501" t="s">
        <v>413</v>
      </c>
      <c r="C31" s="502">
        <f t="shared" si="0"/>
        <v>0</v>
      </c>
      <c r="D31" s="500">
        <f>-E31</f>
        <v>-16343973.889999999</v>
      </c>
      <c r="E31" s="500">
        <f>8308917+165211+4187984+2016731.69+1610730.2+54400</f>
        <v>16343973.889999999</v>
      </c>
      <c r="F31" s="529">
        <f>E31</f>
        <v>16343973.889999999</v>
      </c>
      <c r="G31" s="51">
        <f>G24-G23</f>
        <v>684015.0399999998</v>
      </c>
      <c r="H31" s="52">
        <v>307252</v>
      </c>
    </row>
    <row r="32" spans="1:8" s="52" customFormat="1" ht="16.8" x14ac:dyDescent="0.3">
      <c r="A32" s="530"/>
      <c r="B32" s="503" t="s">
        <v>99</v>
      </c>
      <c r="C32" s="504">
        <f t="shared" si="0"/>
        <v>0</v>
      </c>
      <c r="D32" s="498"/>
      <c r="E32" s="498"/>
      <c r="F32" s="525"/>
      <c r="G32" s="51"/>
    </row>
    <row r="33" spans="1:8" s="52" customFormat="1" ht="16.8" x14ac:dyDescent="0.3">
      <c r="A33" s="530"/>
      <c r="B33" s="503" t="s">
        <v>414</v>
      </c>
      <c r="C33" s="504">
        <f t="shared" si="0"/>
        <v>0</v>
      </c>
      <c r="D33" s="500">
        <f>-E33</f>
        <v>-1014400</v>
      </c>
      <c r="E33" s="498">
        <v>1014400</v>
      </c>
      <c r="F33" s="525">
        <f>E33</f>
        <v>1014400</v>
      </c>
      <c r="G33" s="51"/>
    </row>
    <row r="34" spans="1:8" s="52" customFormat="1" ht="17.399999999999999" thickBot="1" x14ac:dyDescent="0.35">
      <c r="A34" s="531"/>
      <c r="B34" s="514" t="s">
        <v>581</v>
      </c>
      <c r="C34" s="515"/>
      <c r="D34" s="516"/>
      <c r="E34" s="517"/>
      <c r="F34" s="532"/>
      <c r="G34" s="51"/>
    </row>
    <row r="35" spans="1:8" s="52" customFormat="1" ht="17.399999999999999" hidden="1" thickBot="1" x14ac:dyDescent="0.35">
      <c r="A35" s="528"/>
      <c r="B35" s="1117"/>
      <c r="C35" s="515"/>
      <c r="D35" s="500">
        <f>-E35</f>
        <v>0</v>
      </c>
      <c r="E35" s="500"/>
      <c r="F35" s="529">
        <f>E35</f>
        <v>0</v>
      </c>
      <c r="G35" s="51"/>
    </row>
    <row r="36" spans="1:8" s="52" customFormat="1" ht="16.8" hidden="1" x14ac:dyDescent="0.3">
      <c r="A36" s="531"/>
      <c r="B36" s="514"/>
      <c r="C36" s="515"/>
      <c r="D36" s="516"/>
      <c r="E36" s="517"/>
      <c r="F36" s="532"/>
      <c r="G36" s="51"/>
    </row>
    <row r="37" spans="1:8" s="54" customFormat="1" ht="18" hidden="1" customHeight="1" thickBot="1" x14ac:dyDescent="0.35">
      <c r="A37" s="531"/>
      <c r="B37" s="514" t="s">
        <v>581</v>
      </c>
      <c r="C37" s="515">
        <f t="shared" si="0"/>
        <v>0</v>
      </c>
      <c r="D37" s="516">
        <f>-E37</f>
        <v>0</v>
      </c>
      <c r="E37" s="516">
        <v>0</v>
      </c>
      <c r="F37" s="532">
        <f>E37</f>
        <v>0</v>
      </c>
      <c r="G37" s="51"/>
      <c r="H37" s="53"/>
    </row>
    <row r="38" spans="1:8" s="56" customFormat="1" ht="21" thickBot="1" x14ac:dyDescent="0.35">
      <c r="A38" s="265" t="s">
        <v>401</v>
      </c>
      <c r="B38" s="266" t="s">
        <v>415</v>
      </c>
      <c r="C38" s="267">
        <f t="shared" si="0"/>
        <v>26030581.310000002</v>
      </c>
      <c r="D38" s="268">
        <f>D14</f>
        <v>6733412.8000000026</v>
      </c>
      <c r="E38" s="269">
        <f>E14</f>
        <v>19297168.509999998</v>
      </c>
      <c r="F38" s="270">
        <f>F14</f>
        <v>16521492.199999999</v>
      </c>
      <c r="G38" s="55"/>
    </row>
    <row r="39" spans="1:8" s="56" customFormat="1" ht="20.399999999999999" x14ac:dyDescent="0.3">
      <c r="A39" s="1307" t="s">
        <v>416</v>
      </c>
      <c r="B39" s="1308"/>
      <c r="C39" s="1308"/>
      <c r="D39" s="1308"/>
      <c r="E39" s="1308"/>
      <c r="F39" s="1309"/>
      <c r="G39" s="55"/>
    </row>
    <row r="40" spans="1:8" s="40" customFormat="1" ht="21.75" customHeight="1" x14ac:dyDescent="0.3">
      <c r="A40" s="533">
        <v>600000</v>
      </c>
      <c r="B40" s="490" t="s">
        <v>417</v>
      </c>
      <c r="C40" s="491">
        <f>SUM(D40:E40)</f>
        <v>26030581.310000002</v>
      </c>
      <c r="D40" s="492">
        <f>D41</f>
        <v>6733412.8000000026</v>
      </c>
      <c r="E40" s="492">
        <f>E41</f>
        <v>19297168.509999998</v>
      </c>
      <c r="F40" s="534">
        <f>F41</f>
        <v>16521492.199999999</v>
      </c>
      <c r="G40" s="42"/>
    </row>
    <row r="41" spans="1:8" s="44" customFormat="1" ht="19.5" customHeight="1" x14ac:dyDescent="0.3">
      <c r="A41" s="535" t="s">
        <v>418</v>
      </c>
      <c r="B41" s="493" t="s">
        <v>419</v>
      </c>
      <c r="C41" s="505">
        <f t="shared" ref="C41:C54" si="1">SUM(D41:E41)</f>
        <v>26030581.310000002</v>
      </c>
      <c r="D41" s="495">
        <f>D44-D46+D52+D48</f>
        <v>6733412.8000000026</v>
      </c>
      <c r="E41" s="495">
        <f>E44-E46+E52+E48</f>
        <v>19297168.509999998</v>
      </c>
      <c r="F41" s="495">
        <f>F44-F46+F52+F48</f>
        <v>16521492.199999999</v>
      </c>
      <c r="G41" s="57"/>
    </row>
    <row r="42" spans="1:8" s="46" customFormat="1" ht="34.5" customHeight="1" x14ac:dyDescent="0.3">
      <c r="A42" s="535"/>
      <c r="B42" s="493" t="s">
        <v>409</v>
      </c>
      <c r="C42" s="505">
        <f t="shared" si="1"/>
        <v>26030581.310000002</v>
      </c>
      <c r="D42" s="495">
        <f t="shared" ref="D42:F43" si="2">D44-D46</f>
        <v>23054386.690000001</v>
      </c>
      <c r="E42" s="506">
        <f t="shared" si="2"/>
        <v>2976194.62</v>
      </c>
      <c r="F42" s="536">
        <f t="shared" si="2"/>
        <v>200518.31</v>
      </c>
      <c r="G42" s="58"/>
    </row>
    <row r="43" spans="1:8" s="48" customFormat="1" ht="33.6" x14ac:dyDescent="0.3">
      <c r="A43" s="537"/>
      <c r="B43" s="496" t="s">
        <v>420</v>
      </c>
      <c r="C43" s="507">
        <f t="shared" si="1"/>
        <v>2657693.33</v>
      </c>
      <c r="D43" s="498">
        <f t="shared" si="2"/>
        <v>0</v>
      </c>
      <c r="E43" s="508">
        <f t="shared" si="2"/>
        <v>2657693.33</v>
      </c>
      <c r="F43" s="538">
        <f t="shared" si="2"/>
        <v>0</v>
      </c>
      <c r="G43" s="59"/>
    </row>
    <row r="44" spans="1:8" s="40" customFormat="1" ht="16.8" x14ac:dyDescent="0.3">
      <c r="A44" s="539" t="s">
        <v>421</v>
      </c>
      <c r="B44" s="499" t="s">
        <v>411</v>
      </c>
      <c r="C44" s="509">
        <f t="shared" si="1"/>
        <v>26709332.68</v>
      </c>
      <c r="D44" s="500">
        <f t="shared" ref="D44:F45" si="3">D19</f>
        <v>23560579.640000001</v>
      </c>
      <c r="E44" s="510">
        <f t="shared" si="3"/>
        <v>3148753.04</v>
      </c>
      <c r="F44" s="540">
        <f t="shared" si="3"/>
        <v>200518.31</v>
      </c>
      <c r="G44" s="60"/>
    </row>
    <row r="45" spans="1:8" s="46" customFormat="1" ht="33.6" x14ac:dyDescent="0.3">
      <c r="A45" s="537"/>
      <c r="B45" s="496" t="s">
        <v>420</v>
      </c>
      <c r="C45" s="505">
        <f t="shared" si="1"/>
        <v>2657693.33</v>
      </c>
      <c r="D45" s="498">
        <f t="shared" si="3"/>
        <v>0</v>
      </c>
      <c r="E45" s="498">
        <f t="shared" si="3"/>
        <v>2657693.33</v>
      </c>
      <c r="F45" s="525">
        <f t="shared" si="3"/>
        <v>0</v>
      </c>
      <c r="G45" s="61"/>
    </row>
    <row r="46" spans="1:8" ht="16.8" x14ac:dyDescent="0.3">
      <c r="A46" s="539" t="s">
        <v>422</v>
      </c>
      <c r="B46" s="499" t="s">
        <v>412</v>
      </c>
      <c r="C46" s="509">
        <f t="shared" si="1"/>
        <v>678751.37000000011</v>
      </c>
      <c r="D46" s="500">
        <f t="shared" ref="D46:F47" si="4">D23</f>
        <v>506192.95000000019</v>
      </c>
      <c r="E46" s="510">
        <f t="shared" si="4"/>
        <v>172558.41999999998</v>
      </c>
      <c r="F46" s="540">
        <f t="shared" si="4"/>
        <v>0</v>
      </c>
      <c r="G46" s="62"/>
    </row>
    <row r="47" spans="1:8" s="48" customFormat="1" ht="33.6" x14ac:dyDescent="0.3">
      <c r="A47" s="537"/>
      <c r="B47" s="496" t="s">
        <v>410</v>
      </c>
      <c r="C47" s="505">
        <f t="shared" si="1"/>
        <v>0</v>
      </c>
      <c r="D47" s="498">
        <f t="shared" si="4"/>
        <v>0</v>
      </c>
      <c r="E47" s="498">
        <f t="shared" si="4"/>
        <v>0</v>
      </c>
      <c r="F47" s="525">
        <f t="shared" si="4"/>
        <v>0</v>
      </c>
      <c r="G47" s="59"/>
    </row>
    <row r="48" spans="1:8" s="48" customFormat="1" ht="33.6" x14ac:dyDescent="0.3">
      <c r="A48" s="537" t="s">
        <v>1157</v>
      </c>
      <c r="B48" s="1118" t="s">
        <v>1158</v>
      </c>
      <c r="C48" s="505"/>
      <c r="D48" s="500">
        <f>D27</f>
        <v>23000</v>
      </c>
      <c r="E48" s="510">
        <f>E27</f>
        <v>-23000</v>
      </c>
      <c r="F48" s="541">
        <f>F27</f>
        <v>-23000</v>
      </c>
      <c r="G48" s="59"/>
    </row>
    <row r="49" spans="1:22" s="48" customFormat="1" ht="16.8" hidden="1" x14ac:dyDescent="0.3">
      <c r="A49" s="537"/>
      <c r="B49" s="496"/>
      <c r="C49" s="505"/>
      <c r="D49" s="498"/>
      <c r="E49" s="498"/>
      <c r="F49" s="525"/>
      <c r="G49" s="59"/>
    </row>
    <row r="50" spans="1:22" s="48" customFormat="1" ht="16.8" hidden="1" x14ac:dyDescent="0.3">
      <c r="A50" s="537"/>
      <c r="B50" s="496"/>
      <c r="C50" s="505"/>
      <c r="D50" s="498"/>
      <c r="E50" s="498"/>
      <c r="F50" s="525"/>
      <c r="G50" s="59"/>
    </row>
    <row r="51" spans="1:22" s="48" customFormat="1" ht="16.8" hidden="1" x14ac:dyDescent="0.3">
      <c r="A51" s="537"/>
      <c r="B51" s="496"/>
      <c r="C51" s="505"/>
      <c r="D51" s="498"/>
      <c r="E51" s="498"/>
      <c r="F51" s="525"/>
      <c r="G51" s="59"/>
    </row>
    <row r="52" spans="1:22" ht="33.75" customHeight="1" x14ac:dyDescent="0.3">
      <c r="A52" s="539" t="s">
        <v>423</v>
      </c>
      <c r="B52" s="499" t="s">
        <v>413</v>
      </c>
      <c r="C52" s="509">
        <f t="shared" si="1"/>
        <v>0</v>
      </c>
      <c r="D52" s="500">
        <f t="shared" ref="D52:F54" si="5">D31</f>
        <v>-16343973.889999999</v>
      </c>
      <c r="E52" s="510">
        <f t="shared" si="5"/>
        <v>16343973.889999999</v>
      </c>
      <c r="F52" s="541">
        <f t="shared" si="5"/>
        <v>16343973.889999999</v>
      </c>
      <c r="G52" s="62"/>
    </row>
    <row r="53" spans="1:22" s="48" customFormat="1" ht="16.8" x14ac:dyDescent="0.3">
      <c r="A53" s="530"/>
      <c r="B53" s="503" t="s">
        <v>99</v>
      </c>
      <c r="C53" s="505">
        <f t="shared" si="1"/>
        <v>0</v>
      </c>
      <c r="D53" s="498">
        <f t="shared" si="5"/>
        <v>0</v>
      </c>
      <c r="E53" s="508">
        <f t="shared" si="5"/>
        <v>0</v>
      </c>
      <c r="F53" s="538">
        <f t="shared" si="5"/>
        <v>0</v>
      </c>
      <c r="G53" s="59"/>
    </row>
    <row r="54" spans="1:22" s="48" customFormat="1" ht="17.399999999999999" thickBot="1" x14ac:dyDescent="0.35">
      <c r="A54" s="530"/>
      <c r="B54" s="503" t="s">
        <v>414</v>
      </c>
      <c r="C54" s="505">
        <f t="shared" si="1"/>
        <v>0</v>
      </c>
      <c r="D54" s="498">
        <f t="shared" si="5"/>
        <v>-1014400</v>
      </c>
      <c r="E54" s="508">
        <f t="shared" si="5"/>
        <v>1014400</v>
      </c>
      <c r="F54" s="538">
        <f t="shared" si="5"/>
        <v>1014400</v>
      </c>
      <c r="G54" s="59"/>
    </row>
    <row r="55" spans="1:22" ht="17.399999999999999" hidden="1" thickBot="1" x14ac:dyDescent="0.35">
      <c r="A55" s="531"/>
      <c r="B55" s="514" t="s">
        <v>424</v>
      </c>
      <c r="C55" s="518"/>
      <c r="D55" s="517">
        <f>D37</f>
        <v>0</v>
      </c>
      <c r="E55" s="519">
        <f>E37</f>
        <v>0</v>
      </c>
      <c r="F55" s="542">
        <f>F37</f>
        <v>0</v>
      </c>
      <c r="G55" s="62"/>
    </row>
    <row r="56" spans="1:22" s="64" customFormat="1" ht="21.6" thickBot="1" x14ac:dyDescent="0.35">
      <c r="A56" s="265" t="s">
        <v>401</v>
      </c>
      <c r="B56" s="266" t="s">
        <v>415</v>
      </c>
      <c r="C56" s="271">
        <f>C40</f>
        <v>26030581.310000002</v>
      </c>
      <c r="D56" s="271">
        <f>D40</f>
        <v>6733412.8000000026</v>
      </c>
      <c r="E56" s="272">
        <f>E40</f>
        <v>19297168.509999998</v>
      </c>
      <c r="F56" s="273">
        <f>F40</f>
        <v>16521492.199999999</v>
      </c>
      <c r="G56" s="63"/>
    </row>
    <row r="57" spans="1:22" s="40" customFormat="1" ht="45" customHeight="1" x14ac:dyDescent="0.3">
      <c r="A57" s="274"/>
      <c r="B57" s="275"/>
      <c r="C57" s="276"/>
      <c r="D57" s="277"/>
      <c r="E57" s="277"/>
      <c r="F57" s="277"/>
      <c r="G57" s="65"/>
    </row>
    <row r="58" spans="1:22" s="172" customFormat="1" ht="18" x14ac:dyDescent="0.3">
      <c r="A58" s="171" t="s">
        <v>1</v>
      </c>
      <c r="C58" s="254"/>
      <c r="E58" s="171" t="s">
        <v>650</v>
      </c>
      <c r="F58" s="255"/>
      <c r="J58" s="213"/>
      <c r="K58" s="214"/>
      <c r="L58" s="214"/>
      <c r="M58" s="214"/>
      <c r="N58" s="214"/>
      <c r="O58" s="214"/>
      <c r="P58" s="214"/>
      <c r="Q58" s="214"/>
      <c r="R58" s="214"/>
      <c r="S58" s="214"/>
      <c r="T58" s="214"/>
      <c r="U58" s="214"/>
      <c r="V58" s="214"/>
    </row>
    <row r="59" spans="1:22" s="37" customFormat="1" ht="18" x14ac:dyDescent="0.3">
      <c r="B59" s="38"/>
      <c r="C59" s="66"/>
    </row>
    <row r="60" spans="1:22" x14ac:dyDescent="0.3">
      <c r="A60" s="67"/>
      <c r="B60" s="68"/>
      <c r="C60" s="69"/>
    </row>
    <row r="61" spans="1:22" x14ac:dyDescent="0.3">
      <c r="A61" s="67"/>
      <c r="B61" s="68"/>
      <c r="C61" s="69"/>
    </row>
    <row r="62" spans="1:22" x14ac:dyDescent="0.3">
      <c r="A62" s="67"/>
      <c r="B62" s="68"/>
      <c r="C62" s="69"/>
    </row>
    <row r="63" spans="1:22" x14ac:dyDescent="0.3">
      <c r="A63" s="67"/>
      <c r="B63" s="68"/>
      <c r="C63" s="69"/>
    </row>
    <row r="64" spans="1:22" x14ac:dyDescent="0.3">
      <c r="A64" s="67"/>
      <c r="B64" s="68"/>
      <c r="C64" s="69"/>
    </row>
    <row r="65" spans="1:3" x14ac:dyDescent="0.3">
      <c r="A65" s="67"/>
      <c r="B65" s="68"/>
      <c r="C65" s="69"/>
    </row>
    <row r="66" spans="1:3" x14ac:dyDescent="0.3">
      <c r="A66" s="67"/>
      <c r="B66" s="68"/>
      <c r="C66" s="69"/>
    </row>
    <row r="67" spans="1:3" x14ac:dyDescent="0.3">
      <c r="B67" s="68"/>
      <c r="C67" s="69"/>
    </row>
    <row r="68" spans="1:3" x14ac:dyDescent="0.3">
      <c r="B68" s="68"/>
      <c r="C68" s="69"/>
    </row>
    <row r="69" spans="1:3" x14ac:dyDescent="0.3">
      <c r="B69" s="68"/>
      <c r="C69" s="69"/>
    </row>
    <row r="70" spans="1:3" x14ac:dyDescent="0.3">
      <c r="B70" s="68"/>
      <c r="C70" s="69"/>
    </row>
    <row r="71" spans="1:3" x14ac:dyDescent="0.3">
      <c r="B71" s="68"/>
      <c r="C71" s="69"/>
    </row>
    <row r="72" spans="1:3" x14ac:dyDescent="0.3">
      <c r="B72" s="68"/>
      <c r="C72" s="69"/>
    </row>
    <row r="73" spans="1:3" x14ac:dyDescent="0.3">
      <c r="B73" s="68"/>
      <c r="C73" s="69"/>
    </row>
    <row r="74" spans="1:3" x14ac:dyDescent="0.3">
      <c r="B74" s="68"/>
      <c r="C74" s="69"/>
    </row>
    <row r="75" spans="1:3" x14ac:dyDescent="0.3">
      <c r="B75" s="68"/>
      <c r="C75" s="69"/>
    </row>
    <row r="76" spans="1:3" x14ac:dyDescent="0.3">
      <c r="B76" s="68"/>
      <c r="C76" s="69"/>
    </row>
    <row r="77" spans="1:3" x14ac:dyDescent="0.3">
      <c r="B77" s="68"/>
      <c r="C77" s="69"/>
    </row>
    <row r="78" spans="1:3" x14ac:dyDescent="0.3">
      <c r="B78" s="68"/>
      <c r="C78" s="69"/>
    </row>
    <row r="79" spans="1:3" x14ac:dyDescent="0.3">
      <c r="B79" s="68"/>
      <c r="C79" s="69"/>
    </row>
    <row r="80" spans="1:3" x14ac:dyDescent="0.3">
      <c r="B80" s="68"/>
      <c r="C80" s="69"/>
    </row>
    <row r="81" spans="2:3" x14ac:dyDescent="0.3">
      <c r="B81" s="68"/>
      <c r="C81" s="69"/>
    </row>
    <row r="82" spans="2:3" x14ac:dyDescent="0.3">
      <c r="B82" s="68"/>
      <c r="C82" s="69"/>
    </row>
    <row r="83" spans="2:3" x14ac:dyDescent="0.3">
      <c r="B83" s="68"/>
      <c r="C83" s="69"/>
    </row>
    <row r="84" spans="2:3" x14ac:dyDescent="0.3">
      <c r="B84" s="68"/>
      <c r="C84" s="69"/>
    </row>
    <row r="85" spans="2:3" x14ac:dyDescent="0.3">
      <c r="B85" s="68"/>
      <c r="C85" s="69"/>
    </row>
    <row r="86" spans="2:3" x14ac:dyDescent="0.3">
      <c r="B86" s="68"/>
      <c r="C86" s="69"/>
    </row>
    <row r="87" spans="2:3" x14ac:dyDescent="0.3">
      <c r="B87" s="68"/>
      <c r="C87" s="69"/>
    </row>
    <row r="88" spans="2:3" x14ac:dyDescent="0.3">
      <c r="B88" s="68"/>
      <c r="C88" s="69"/>
    </row>
    <row r="89" spans="2:3" x14ac:dyDescent="0.3">
      <c r="B89" s="68"/>
      <c r="C89" s="69"/>
    </row>
    <row r="90" spans="2:3" x14ac:dyDescent="0.3">
      <c r="B90" s="68"/>
      <c r="C90" s="69"/>
    </row>
  </sheetData>
  <mergeCells count="9">
    <mergeCell ref="A13:F13"/>
    <mergeCell ref="A39:F39"/>
    <mergeCell ref="A6:F6"/>
    <mergeCell ref="A7:F7"/>
    <mergeCell ref="A10:A11"/>
    <mergeCell ref="B10:B11"/>
    <mergeCell ref="C10:C11"/>
    <mergeCell ref="D10:D11"/>
    <mergeCell ref="E10:F10"/>
  </mergeCells>
  <printOptions horizontalCentered="1"/>
  <pageMargins left="1.1811023622047245" right="0.39370078740157483" top="0.78740157480314965" bottom="0.78740157480314965" header="0.35433070866141736" footer="0.19685039370078741"/>
  <pageSetup paperSize="9" scale="64" orientation="portrait" horizontalDpi="360" verticalDpi="360" r:id="rId1"/>
  <headerFooter differentFirst="1" alignWithMargins="0">
    <oddHeader xml:space="preserve">&amp;R&amp;"Times New Roman,полужирный"&amp;14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T195"/>
  <sheetViews>
    <sheetView showZeros="0" topLeftCell="B7" zoomScale="89" zoomScaleNormal="89" zoomScaleSheetLayoutView="89" zoomScalePageLayoutView="60" workbookViewId="0">
      <pane xSplit="3" ySplit="4" topLeftCell="E184" activePane="bottomRight" state="frozen"/>
      <selection activeCell="B7" sqref="B7"/>
      <selection pane="topRight" activeCell="E7" sqref="E7"/>
      <selection pane="bottomLeft" activeCell="B11" sqref="B11"/>
      <selection pane="bottomRight" activeCell="K184" sqref="K184"/>
    </sheetView>
  </sheetViews>
  <sheetFormatPr defaultColWidth="3.33203125" defaultRowHeight="13.2" x14ac:dyDescent="0.25"/>
  <cols>
    <col min="1" max="1" width="0" style="71" hidden="1" customWidth="1"/>
    <col min="2" max="2" width="11.44140625" style="71" customWidth="1"/>
    <col min="3" max="3" width="10.44140625" style="71" customWidth="1"/>
    <col min="4" max="4" width="10.6640625" style="71" customWidth="1"/>
    <col min="5" max="5" width="66.44140625" style="71" customWidth="1"/>
    <col min="6" max="6" width="15.109375" style="71" customWidth="1"/>
    <col min="7" max="7" width="16.33203125" style="71" customWidth="1"/>
    <col min="8" max="8" width="17.109375" style="71" customWidth="1"/>
    <col min="9" max="9" width="14.6640625" style="71" customWidth="1"/>
    <col min="10" max="10" width="10.44140625" style="71" customWidth="1"/>
    <col min="11" max="11" width="14.44140625" style="190" customWidth="1"/>
    <col min="12" max="12" width="15.44140625" style="187" customWidth="1"/>
    <col min="13" max="13" width="0" style="187" hidden="1" customWidth="1"/>
    <col min="14" max="14" width="13.6640625" style="187" customWidth="1"/>
    <col min="15" max="15" width="11.33203125" style="187" customWidth="1"/>
    <col min="16" max="16" width="11.44140625" style="187" customWidth="1"/>
    <col min="17" max="17" width="14.6640625" style="187" customWidth="1"/>
    <col min="18" max="18" width="16.44140625" style="187" customWidth="1"/>
    <col min="19" max="19" width="0" style="71" hidden="1" customWidth="1"/>
    <col min="20" max="20" width="16.88671875" style="74" hidden="1" customWidth="1"/>
    <col min="21" max="25" width="0" style="74" hidden="1" customWidth="1"/>
    <col min="26" max="26" width="4.109375" style="74" customWidth="1"/>
    <col min="27" max="255" width="7.88671875" style="74" customWidth="1"/>
    <col min="256" max="256" width="3.33203125" style="74"/>
    <col min="257" max="257" width="0" style="74" hidden="1" customWidth="1"/>
    <col min="258" max="258" width="11.44140625" style="74" customWidth="1"/>
    <col min="259" max="259" width="10.44140625" style="74" customWidth="1"/>
    <col min="260" max="260" width="10.6640625" style="74" customWidth="1"/>
    <col min="261" max="261" width="52.88671875" style="74" customWidth="1"/>
    <col min="262" max="262" width="14.44140625" style="74" customWidth="1"/>
    <col min="263" max="263" width="15.44140625" style="74" customWidth="1"/>
    <col min="264" max="264" width="13.33203125" style="74" customWidth="1"/>
    <col min="265" max="265" width="10.88671875" style="74" customWidth="1"/>
    <col min="266" max="266" width="7.88671875" style="74" customWidth="1"/>
    <col min="267" max="267" width="13" style="74" customWidth="1"/>
    <col min="268" max="268" width="12.44140625" style="74" customWidth="1"/>
    <col min="269" max="269" width="0" style="74" hidden="1" customWidth="1"/>
    <col min="270" max="270" width="12.44140625" style="74" customWidth="1"/>
    <col min="271" max="271" width="9.44140625" style="74" customWidth="1"/>
    <col min="272" max="272" width="10" style="74" customWidth="1"/>
    <col min="273" max="273" width="12.44140625" style="74" customWidth="1"/>
    <col min="274" max="274" width="14.33203125" style="74" customWidth="1"/>
    <col min="275" max="281" width="0" style="74" hidden="1" customWidth="1"/>
    <col min="282" max="511" width="7.88671875" style="74" customWidth="1"/>
    <col min="512" max="512" width="3.33203125" style="74"/>
    <col min="513" max="513" width="0" style="74" hidden="1" customWidth="1"/>
    <col min="514" max="514" width="11.44140625" style="74" customWidth="1"/>
    <col min="515" max="515" width="10.44140625" style="74" customWidth="1"/>
    <col min="516" max="516" width="10.6640625" style="74" customWidth="1"/>
    <col min="517" max="517" width="52.88671875" style="74" customWidth="1"/>
    <col min="518" max="518" width="14.44140625" style="74" customWidth="1"/>
    <col min="519" max="519" width="15.44140625" style="74" customWidth="1"/>
    <col min="520" max="520" width="13.33203125" style="74" customWidth="1"/>
    <col min="521" max="521" width="10.88671875" style="74" customWidth="1"/>
    <col min="522" max="522" width="7.88671875" style="74" customWidth="1"/>
    <col min="523" max="523" width="13" style="74" customWidth="1"/>
    <col min="524" max="524" width="12.44140625" style="74" customWidth="1"/>
    <col min="525" max="525" width="0" style="74" hidden="1" customWidth="1"/>
    <col min="526" max="526" width="12.44140625" style="74" customWidth="1"/>
    <col min="527" max="527" width="9.44140625" style="74" customWidth="1"/>
    <col min="528" max="528" width="10" style="74" customWidth="1"/>
    <col min="529" max="529" width="12.44140625" style="74" customWidth="1"/>
    <col min="530" max="530" width="14.33203125" style="74" customWidth="1"/>
    <col min="531" max="537" width="0" style="74" hidden="1" customWidth="1"/>
    <col min="538" max="767" width="7.88671875" style="74" customWidth="1"/>
    <col min="768" max="768" width="3.33203125" style="74"/>
    <col min="769" max="769" width="0" style="74" hidden="1" customWidth="1"/>
    <col min="770" max="770" width="11.44140625" style="74" customWidth="1"/>
    <col min="771" max="771" width="10.44140625" style="74" customWidth="1"/>
    <col min="772" max="772" width="10.6640625" style="74" customWidth="1"/>
    <col min="773" max="773" width="52.88671875" style="74" customWidth="1"/>
    <col min="774" max="774" width="14.44140625" style="74" customWidth="1"/>
    <col min="775" max="775" width="15.44140625" style="74" customWidth="1"/>
    <col min="776" max="776" width="13.33203125" style="74" customWidth="1"/>
    <col min="777" max="777" width="10.88671875" style="74" customWidth="1"/>
    <col min="778" max="778" width="7.88671875" style="74" customWidth="1"/>
    <col min="779" max="779" width="13" style="74" customWidth="1"/>
    <col min="780" max="780" width="12.44140625" style="74" customWidth="1"/>
    <col min="781" max="781" width="0" style="74" hidden="1" customWidth="1"/>
    <col min="782" max="782" width="12.44140625" style="74" customWidth="1"/>
    <col min="783" max="783" width="9.44140625" style="74" customWidth="1"/>
    <col min="784" max="784" width="10" style="74" customWidth="1"/>
    <col min="785" max="785" width="12.44140625" style="74" customWidth="1"/>
    <col min="786" max="786" width="14.33203125" style="74" customWidth="1"/>
    <col min="787" max="793" width="0" style="74" hidden="1" customWidth="1"/>
    <col min="794" max="1023" width="7.88671875" style="74" customWidth="1"/>
    <col min="1024" max="1024" width="3.33203125" style="74"/>
    <col min="1025" max="1025" width="0" style="74" hidden="1" customWidth="1"/>
    <col min="1026" max="1026" width="11.44140625" style="74" customWidth="1"/>
    <col min="1027" max="1027" width="10.44140625" style="74" customWidth="1"/>
    <col min="1028" max="1028" width="10.6640625" style="74" customWidth="1"/>
    <col min="1029" max="1029" width="52.88671875" style="74" customWidth="1"/>
    <col min="1030" max="1030" width="14.44140625" style="74" customWidth="1"/>
    <col min="1031" max="1031" width="15.44140625" style="74" customWidth="1"/>
    <col min="1032" max="1032" width="13.33203125" style="74" customWidth="1"/>
    <col min="1033" max="1033" width="10.88671875" style="74" customWidth="1"/>
    <col min="1034" max="1034" width="7.88671875" style="74" customWidth="1"/>
    <col min="1035" max="1035" width="13" style="74" customWidth="1"/>
    <col min="1036" max="1036" width="12.44140625" style="74" customWidth="1"/>
    <col min="1037" max="1037" width="0" style="74" hidden="1" customWidth="1"/>
    <col min="1038" max="1038" width="12.44140625" style="74" customWidth="1"/>
    <col min="1039" max="1039" width="9.44140625" style="74" customWidth="1"/>
    <col min="1040" max="1040" width="10" style="74" customWidth="1"/>
    <col min="1041" max="1041" width="12.44140625" style="74" customWidth="1"/>
    <col min="1042" max="1042" width="14.33203125" style="74" customWidth="1"/>
    <col min="1043" max="1049" width="0" style="74" hidden="1" customWidth="1"/>
    <col min="1050" max="1279" width="7.88671875" style="74" customWidth="1"/>
    <col min="1280" max="1280" width="3.33203125" style="74"/>
    <col min="1281" max="1281" width="0" style="74" hidden="1" customWidth="1"/>
    <col min="1282" max="1282" width="11.44140625" style="74" customWidth="1"/>
    <col min="1283" max="1283" width="10.44140625" style="74" customWidth="1"/>
    <col min="1284" max="1284" width="10.6640625" style="74" customWidth="1"/>
    <col min="1285" max="1285" width="52.88671875" style="74" customWidth="1"/>
    <col min="1286" max="1286" width="14.44140625" style="74" customWidth="1"/>
    <col min="1287" max="1287" width="15.44140625" style="74" customWidth="1"/>
    <col min="1288" max="1288" width="13.33203125" style="74" customWidth="1"/>
    <col min="1289" max="1289" width="10.88671875" style="74" customWidth="1"/>
    <col min="1290" max="1290" width="7.88671875" style="74" customWidth="1"/>
    <col min="1291" max="1291" width="13" style="74" customWidth="1"/>
    <col min="1292" max="1292" width="12.44140625" style="74" customWidth="1"/>
    <col min="1293" max="1293" width="0" style="74" hidden="1" customWidth="1"/>
    <col min="1294" max="1294" width="12.44140625" style="74" customWidth="1"/>
    <col min="1295" max="1295" width="9.44140625" style="74" customWidth="1"/>
    <col min="1296" max="1296" width="10" style="74" customWidth="1"/>
    <col min="1297" max="1297" width="12.44140625" style="74" customWidth="1"/>
    <col min="1298" max="1298" width="14.33203125" style="74" customWidth="1"/>
    <col min="1299" max="1305" width="0" style="74" hidden="1" customWidth="1"/>
    <col min="1306" max="1535" width="7.88671875" style="74" customWidth="1"/>
    <col min="1536" max="1536" width="3.33203125" style="74"/>
    <col min="1537" max="1537" width="0" style="74" hidden="1" customWidth="1"/>
    <col min="1538" max="1538" width="11.44140625" style="74" customWidth="1"/>
    <col min="1539" max="1539" width="10.44140625" style="74" customWidth="1"/>
    <col min="1540" max="1540" width="10.6640625" style="74" customWidth="1"/>
    <col min="1541" max="1541" width="52.88671875" style="74" customWidth="1"/>
    <col min="1542" max="1542" width="14.44140625" style="74" customWidth="1"/>
    <col min="1543" max="1543" width="15.44140625" style="74" customWidth="1"/>
    <col min="1544" max="1544" width="13.33203125" style="74" customWidth="1"/>
    <col min="1545" max="1545" width="10.88671875" style="74" customWidth="1"/>
    <col min="1546" max="1546" width="7.88671875" style="74" customWidth="1"/>
    <col min="1547" max="1547" width="13" style="74" customWidth="1"/>
    <col min="1548" max="1548" width="12.44140625" style="74" customWidth="1"/>
    <col min="1549" max="1549" width="0" style="74" hidden="1" customWidth="1"/>
    <col min="1550" max="1550" width="12.44140625" style="74" customWidth="1"/>
    <col min="1551" max="1551" width="9.44140625" style="74" customWidth="1"/>
    <col min="1552" max="1552" width="10" style="74" customWidth="1"/>
    <col min="1553" max="1553" width="12.44140625" style="74" customWidth="1"/>
    <col min="1554" max="1554" width="14.33203125" style="74" customWidth="1"/>
    <col min="1555" max="1561" width="0" style="74" hidden="1" customWidth="1"/>
    <col min="1562" max="1791" width="7.88671875" style="74" customWidth="1"/>
    <col min="1792" max="1792" width="3.33203125" style="74"/>
    <col min="1793" max="1793" width="0" style="74" hidden="1" customWidth="1"/>
    <col min="1794" max="1794" width="11.44140625" style="74" customWidth="1"/>
    <col min="1795" max="1795" width="10.44140625" style="74" customWidth="1"/>
    <col min="1796" max="1796" width="10.6640625" style="74" customWidth="1"/>
    <col min="1797" max="1797" width="52.88671875" style="74" customWidth="1"/>
    <col min="1798" max="1798" width="14.44140625" style="74" customWidth="1"/>
    <col min="1799" max="1799" width="15.44140625" style="74" customWidth="1"/>
    <col min="1800" max="1800" width="13.33203125" style="74" customWidth="1"/>
    <col min="1801" max="1801" width="10.88671875" style="74" customWidth="1"/>
    <col min="1802" max="1802" width="7.88671875" style="74" customWidth="1"/>
    <col min="1803" max="1803" width="13" style="74" customWidth="1"/>
    <col min="1804" max="1804" width="12.44140625" style="74" customWidth="1"/>
    <col min="1805" max="1805" width="0" style="74" hidden="1" customWidth="1"/>
    <col min="1806" max="1806" width="12.44140625" style="74" customWidth="1"/>
    <col min="1807" max="1807" width="9.44140625" style="74" customWidth="1"/>
    <col min="1808" max="1808" width="10" style="74" customWidth="1"/>
    <col min="1809" max="1809" width="12.44140625" style="74" customWidth="1"/>
    <col min="1810" max="1810" width="14.33203125" style="74" customWidth="1"/>
    <col min="1811" max="1817" width="0" style="74" hidden="1" customWidth="1"/>
    <col min="1818" max="2047" width="7.88671875" style="74" customWidth="1"/>
    <col min="2048" max="2048" width="3.33203125" style="74"/>
    <col min="2049" max="2049" width="0" style="74" hidden="1" customWidth="1"/>
    <col min="2050" max="2050" width="11.44140625" style="74" customWidth="1"/>
    <col min="2051" max="2051" width="10.44140625" style="74" customWidth="1"/>
    <col min="2052" max="2052" width="10.6640625" style="74" customWidth="1"/>
    <col min="2053" max="2053" width="52.88671875" style="74" customWidth="1"/>
    <col min="2054" max="2054" width="14.44140625" style="74" customWidth="1"/>
    <col min="2055" max="2055" width="15.44140625" style="74" customWidth="1"/>
    <col min="2056" max="2056" width="13.33203125" style="74" customWidth="1"/>
    <col min="2057" max="2057" width="10.88671875" style="74" customWidth="1"/>
    <col min="2058" max="2058" width="7.88671875" style="74" customWidth="1"/>
    <col min="2059" max="2059" width="13" style="74" customWidth="1"/>
    <col min="2060" max="2060" width="12.44140625" style="74" customWidth="1"/>
    <col min="2061" max="2061" width="0" style="74" hidden="1" customWidth="1"/>
    <col min="2062" max="2062" width="12.44140625" style="74" customWidth="1"/>
    <col min="2063" max="2063" width="9.44140625" style="74" customWidth="1"/>
    <col min="2064" max="2064" width="10" style="74" customWidth="1"/>
    <col min="2065" max="2065" width="12.44140625" style="74" customWidth="1"/>
    <col min="2066" max="2066" width="14.33203125" style="74" customWidth="1"/>
    <col min="2067" max="2073" width="0" style="74" hidden="1" customWidth="1"/>
    <col min="2074" max="2303" width="7.88671875" style="74" customWidth="1"/>
    <col min="2304" max="2304" width="3.33203125" style="74"/>
    <col min="2305" max="2305" width="0" style="74" hidden="1" customWidth="1"/>
    <col min="2306" max="2306" width="11.44140625" style="74" customWidth="1"/>
    <col min="2307" max="2307" width="10.44140625" style="74" customWidth="1"/>
    <col min="2308" max="2308" width="10.6640625" style="74" customWidth="1"/>
    <col min="2309" max="2309" width="52.88671875" style="74" customWidth="1"/>
    <col min="2310" max="2310" width="14.44140625" style="74" customWidth="1"/>
    <col min="2311" max="2311" width="15.44140625" style="74" customWidth="1"/>
    <col min="2312" max="2312" width="13.33203125" style="74" customWidth="1"/>
    <col min="2313" max="2313" width="10.88671875" style="74" customWidth="1"/>
    <col min="2314" max="2314" width="7.88671875" style="74" customWidth="1"/>
    <col min="2315" max="2315" width="13" style="74" customWidth="1"/>
    <col min="2316" max="2316" width="12.44140625" style="74" customWidth="1"/>
    <col min="2317" max="2317" width="0" style="74" hidden="1" customWidth="1"/>
    <col min="2318" max="2318" width="12.44140625" style="74" customWidth="1"/>
    <col min="2319" max="2319" width="9.44140625" style="74" customWidth="1"/>
    <col min="2320" max="2320" width="10" style="74" customWidth="1"/>
    <col min="2321" max="2321" width="12.44140625" style="74" customWidth="1"/>
    <col min="2322" max="2322" width="14.33203125" style="74" customWidth="1"/>
    <col min="2323" max="2329" width="0" style="74" hidden="1" customWidth="1"/>
    <col min="2330" max="2559" width="7.88671875" style="74" customWidth="1"/>
    <col min="2560" max="2560" width="3.33203125" style="74"/>
    <col min="2561" max="2561" width="0" style="74" hidden="1" customWidth="1"/>
    <col min="2562" max="2562" width="11.44140625" style="74" customWidth="1"/>
    <col min="2563" max="2563" width="10.44140625" style="74" customWidth="1"/>
    <col min="2564" max="2564" width="10.6640625" style="74" customWidth="1"/>
    <col min="2565" max="2565" width="52.88671875" style="74" customWidth="1"/>
    <col min="2566" max="2566" width="14.44140625" style="74" customWidth="1"/>
    <col min="2567" max="2567" width="15.44140625" style="74" customWidth="1"/>
    <col min="2568" max="2568" width="13.33203125" style="74" customWidth="1"/>
    <col min="2569" max="2569" width="10.88671875" style="74" customWidth="1"/>
    <col min="2570" max="2570" width="7.88671875" style="74" customWidth="1"/>
    <col min="2571" max="2571" width="13" style="74" customWidth="1"/>
    <col min="2572" max="2572" width="12.44140625" style="74" customWidth="1"/>
    <col min="2573" max="2573" width="0" style="74" hidden="1" customWidth="1"/>
    <col min="2574" max="2574" width="12.44140625" style="74" customWidth="1"/>
    <col min="2575" max="2575" width="9.44140625" style="74" customWidth="1"/>
    <col min="2576" max="2576" width="10" style="74" customWidth="1"/>
    <col min="2577" max="2577" width="12.44140625" style="74" customWidth="1"/>
    <col min="2578" max="2578" width="14.33203125" style="74" customWidth="1"/>
    <col min="2579" max="2585" width="0" style="74" hidden="1" customWidth="1"/>
    <col min="2586" max="2815" width="7.88671875" style="74" customWidth="1"/>
    <col min="2816" max="2816" width="3.33203125" style="74"/>
    <col min="2817" max="2817" width="0" style="74" hidden="1" customWidth="1"/>
    <col min="2818" max="2818" width="11.44140625" style="74" customWidth="1"/>
    <col min="2819" max="2819" width="10.44140625" style="74" customWidth="1"/>
    <col min="2820" max="2820" width="10.6640625" style="74" customWidth="1"/>
    <col min="2821" max="2821" width="52.88671875" style="74" customWidth="1"/>
    <col min="2822" max="2822" width="14.44140625" style="74" customWidth="1"/>
    <col min="2823" max="2823" width="15.44140625" style="74" customWidth="1"/>
    <col min="2824" max="2824" width="13.33203125" style="74" customWidth="1"/>
    <col min="2825" max="2825" width="10.88671875" style="74" customWidth="1"/>
    <col min="2826" max="2826" width="7.88671875" style="74" customWidth="1"/>
    <col min="2827" max="2827" width="13" style="74" customWidth="1"/>
    <col min="2828" max="2828" width="12.44140625" style="74" customWidth="1"/>
    <col min="2829" max="2829" width="0" style="74" hidden="1" customWidth="1"/>
    <col min="2830" max="2830" width="12.44140625" style="74" customWidth="1"/>
    <col min="2831" max="2831" width="9.44140625" style="74" customWidth="1"/>
    <col min="2832" max="2832" width="10" style="74" customWidth="1"/>
    <col min="2833" max="2833" width="12.44140625" style="74" customWidth="1"/>
    <col min="2834" max="2834" width="14.33203125" style="74" customWidth="1"/>
    <col min="2835" max="2841" width="0" style="74" hidden="1" customWidth="1"/>
    <col min="2842" max="3071" width="7.88671875" style="74" customWidth="1"/>
    <col min="3072" max="3072" width="3.33203125" style="74"/>
    <col min="3073" max="3073" width="0" style="74" hidden="1" customWidth="1"/>
    <col min="3074" max="3074" width="11.44140625" style="74" customWidth="1"/>
    <col min="3075" max="3075" width="10.44140625" style="74" customWidth="1"/>
    <col min="3076" max="3076" width="10.6640625" style="74" customWidth="1"/>
    <col min="3077" max="3077" width="52.88671875" style="74" customWidth="1"/>
    <col min="3078" max="3078" width="14.44140625" style="74" customWidth="1"/>
    <col min="3079" max="3079" width="15.44140625" style="74" customWidth="1"/>
    <col min="3080" max="3080" width="13.33203125" style="74" customWidth="1"/>
    <col min="3081" max="3081" width="10.88671875" style="74" customWidth="1"/>
    <col min="3082" max="3082" width="7.88671875" style="74" customWidth="1"/>
    <col min="3083" max="3083" width="13" style="74" customWidth="1"/>
    <col min="3084" max="3084" width="12.44140625" style="74" customWidth="1"/>
    <col min="3085" max="3085" width="0" style="74" hidden="1" customWidth="1"/>
    <col min="3086" max="3086" width="12.44140625" style="74" customWidth="1"/>
    <col min="3087" max="3087" width="9.44140625" style="74" customWidth="1"/>
    <col min="3088" max="3088" width="10" style="74" customWidth="1"/>
    <col min="3089" max="3089" width="12.44140625" style="74" customWidth="1"/>
    <col min="3090" max="3090" width="14.33203125" style="74" customWidth="1"/>
    <col min="3091" max="3097" width="0" style="74" hidden="1" customWidth="1"/>
    <col min="3098" max="3327" width="7.88671875" style="74" customWidth="1"/>
    <col min="3328" max="3328" width="3.33203125" style="74"/>
    <col min="3329" max="3329" width="0" style="74" hidden="1" customWidth="1"/>
    <col min="3330" max="3330" width="11.44140625" style="74" customWidth="1"/>
    <col min="3331" max="3331" width="10.44140625" style="74" customWidth="1"/>
    <col min="3332" max="3332" width="10.6640625" style="74" customWidth="1"/>
    <col min="3333" max="3333" width="52.88671875" style="74" customWidth="1"/>
    <col min="3334" max="3334" width="14.44140625" style="74" customWidth="1"/>
    <col min="3335" max="3335" width="15.44140625" style="74" customWidth="1"/>
    <col min="3336" max="3336" width="13.33203125" style="74" customWidth="1"/>
    <col min="3337" max="3337" width="10.88671875" style="74" customWidth="1"/>
    <col min="3338" max="3338" width="7.88671875" style="74" customWidth="1"/>
    <col min="3339" max="3339" width="13" style="74" customWidth="1"/>
    <col min="3340" max="3340" width="12.44140625" style="74" customWidth="1"/>
    <col min="3341" max="3341" width="0" style="74" hidden="1" customWidth="1"/>
    <col min="3342" max="3342" width="12.44140625" style="74" customWidth="1"/>
    <col min="3343" max="3343" width="9.44140625" style="74" customWidth="1"/>
    <col min="3344" max="3344" width="10" style="74" customWidth="1"/>
    <col min="3345" max="3345" width="12.44140625" style="74" customWidth="1"/>
    <col min="3346" max="3346" width="14.33203125" style="74" customWidth="1"/>
    <col min="3347" max="3353" width="0" style="74" hidden="1" customWidth="1"/>
    <col min="3354" max="3583" width="7.88671875" style="74" customWidth="1"/>
    <col min="3584" max="3584" width="3.33203125" style="74"/>
    <col min="3585" max="3585" width="0" style="74" hidden="1" customWidth="1"/>
    <col min="3586" max="3586" width="11.44140625" style="74" customWidth="1"/>
    <col min="3587" max="3587" width="10.44140625" style="74" customWidth="1"/>
    <col min="3588" max="3588" width="10.6640625" style="74" customWidth="1"/>
    <col min="3589" max="3589" width="52.88671875" style="74" customWidth="1"/>
    <col min="3590" max="3590" width="14.44140625" style="74" customWidth="1"/>
    <col min="3591" max="3591" width="15.44140625" style="74" customWidth="1"/>
    <col min="3592" max="3592" width="13.33203125" style="74" customWidth="1"/>
    <col min="3593" max="3593" width="10.88671875" style="74" customWidth="1"/>
    <col min="3594" max="3594" width="7.88671875" style="74" customWidth="1"/>
    <col min="3595" max="3595" width="13" style="74" customWidth="1"/>
    <col min="3596" max="3596" width="12.44140625" style="74" customWidth="1"/>
    <col min="3597" max="3597" width="0" style="74" hidden="1" customWidth="1"/>
    <col min="3598" max="3598" width="12.44140625" style="74" customWidth="1"/>
    <col min="3599" max="3599" width="9.44140625" style="74" customWidth="1"/>
    <col min="3600" max="3600" width="10" style="74" customWidth="1"/>
    <col min="3601" max="3601" width="12.44140625" style="74" customWidth="1"/>
    <col min="3602" max="3602" width="14.33203125" style="74" customWidth="1"/>
    <col min="3603" max="3609" width="0" style="74" hidden="1" customWidth="1"/>
    <col min="3610" max="3839" width="7.88671875" style="74" customWidth="1"/>
    <col min="3840" max="3840" width="3.33203125" style="74"/>
    <col min="3841" max="3841" width="0" style="74" hidden="1" customWidth="1"/>
    <col min="3842" max="3842" width="11.44140625" style="74" customWidth="1"/>
    <col min="3843" max="3843" width="10.44140625" style="74" customWidth="1"/>
    <col min="3844" max="3844" width="10.6640625" style="74" customWidth="1"/>
    <col min="3845" max="3845" width="52.88671875" style="74" customWidth="1"/>
    <col min="3846" max="3846" width="14.44140625" style="74" customWidth="1"/>
    <col min="3847" max="3847" width="15.44140625" style="74" customWidth="1"/>
    <col min="3848" max="3848" width="13.33203125" style="74" customWidth="1"/>
    <col min="3849" max="3849" width="10.88671875" style="74" customWidth="1"/>
    <col min="3850" max="3850" width="7.88671875" style="74" customWidth="1"/>
    <col min="3851" max="3851" width="13" style="74" customWidth="1"/>
    <col min="3852" max="3852" width="12.44140625" style="74" customWidth="1"/>
    <col min="3853" max="3853" width="0" style="74" hidden="1" customWidth="1"/>
    <col min="3854" max="3854" width="12.44140625" style="74" customWidth="1"/>
    <col min="3855" max="3855" width="9.44140625" style="74" customWidth="1"/>
    <col min="3856" max="3856" width="10" style="74" customWidth="1"/>
    <col min="3857" max="3857" width="12.44140625" style="74" customWidth="1"/>
    <col min="3858" max="3858" width="14.33203125" style="74" customWidth="1"/>
    <col min="3859" max="3865" width="0" style="74" hidden="1" customWidth="1"/>
    <col min="3866" max="4095" width="7.88671875" style="74" customWidth="1"/>
    <col min="4096" max="4096" width="3.33203125" style="74"/>
    <col min="4097" max="4097" width="0" style="74" hidden="1" customWidth="1"/>
    <col min="4098" max="4098" width="11.44140625" style="74" customWidth="1"/>
    <col min="4099" max="4099" width="10.44140625" style="74" customWidth="1"/>
    <col min="4100" max="4100" width="10.6640625" style="74" customWidth="1"/>
    <col min="4101" max="4101" width="52.88671875" style="74" customWidth="1"/>
    <col min="4102" max="4102" width="14.44140625" style="74" customWidth="1"/>
    <col min="4103" max="4103" width="15.44140625" style="74" customWidth="1"/>
    <col min="4104" max="4104" width="13.33203125" style="74" customWidth="1"/>
    <col min="4105" max="4105" width="10.88671875" style="74" customWidth="1"/>
    <col min="4106" max="4106" width="7.88671875" style="74" customWidth="1"/>
    <col min="4107" max="4107" width="13" style="74" customWidth="1"/>
    <col min="4108" max="4108" width="12.44140625" style="74" customWidth="1"/>
    <col min="4109" max="4109" width="0" style="74" hidden="1" customWidth="1"/>
    <col min="4110" max="4110" width="12.44140625" style="74" customWidth="1"/>
    <col min="4111" max="4111" width="9.44140625" style="74" customWidth="1"/>
    <col min="4112" max="4112" width="10" style="74" customWidth="1"/>
    <col min="4113" max="4113" width="12.44140625" style="74" customWidth="1"/>
    <col min="4114" max="4114" width="14.33203125" style="74" customWidth="1"/>
    <col min="4115" max="4121" width="0" style="74" hidden="1" customWidth="1"/>
    <col min="4122" max="4351" width="7.88671875" style="74" customWidth="1"/>
    <col min="4352" max="4352" width="3.33203125" style="74"/>
    <col min="4353" max="4353" width="0" style="74" hidden="1" customWidth="1"/>
    <col min="4354" max="4354" width="11.44140625" style="74" customWidth="1"/>
    <col min="4355" max="4355" width="10.44140625" style="74" customWidth="1"/>
    <col min="4356" max="4356" width="10.6640625" style="74" customWidth="1"/>
    <col min="4357" max="4357" width="52.88671875" style="74" customWidth="1"/>
    <col min="4358" max="4358" width="14.44140625" style="74" customWidth="1"/>
    <col min="4359" max="4359" width="15.44140625" style="74" customWidth="1"/>
    <col min="4360" max="4360" width="13.33203125" style="74" customWidth="1"/>
    <col min="4361" max="4361" width="10.88671875" style="74" customWidth="1"/>
    <col min="4362" max="4362" width="7.88671875" style="74" customWidth="1"/>
    <col min="4363" max="4363" width="13" style="74" customWidth="1"/>
    <col min="4364" max="4364" width="12.44140625" style="74" customWidth="1"/>
    <col min="4365" max="4365" width="0" style="74" hidden="1" customWidth="1"/>
    <col min="4366" max="4366" width="12.44140625" style="74" customWidth="1"/>
    <col min="4367" max="4367" width="9.44140625" style="74" customWidth="1"/>
    <col min="4368" max="4368" width="10" style="74" customWidth="1"/>
    <col min="4369" max="4369" width="12.44140625" style="74" customWidth="1"/>
    <col min="4370" max="4370" width="14.33203125" style="74" customWidth="1"/>
    <col min="4371" max="4377" width="0" style="74" hidden="1" customWidth="1"/>
    <col min="4378" max="4607" width="7.88671875" style="74" customWidth="1"/>
    <col min="4608" max="4608" width="3.33203125" style="74"/>
    <col min="4609" max="4609" width="0" style="74" hidden="1" customWidth="1"/>
    <col min="4610" max="4610" width="11.44140625" style="74" customWidth="1"/>
    <col min="4611" max="4611" width="10.44140625" style="74" customWidth="1"/>
    <col min="4612" max="4612" width="10.6640625" style="74" customWidth="1"/>
    <col min="4613" max="4613" width="52.88671875" style="74" customWidth="1"/>
    <col min="4614" max="4614" width="14.44140625" style="74" customWidth="1"/>
    <col min="4615" max="4615" width="15.44140625" style="74" customWidth="1"/>
    <col min="4616" max="4616" width="13.33203125" style="74" customWidth="1"/>
    <col min="4617" max="4617" width="10.88671875" style="74" customWidth="1"/>
    <col min="4618" max="4618" width="7.88671875" style="74" customWidth="1"/>
    <col min="4619" max="4619" width="13" style="74" customWidth="1"/>
    <col min="4620" max="4620" width="12.44140625" style="74" customWidth="1"/>
    <col min="4621" max="4621" width="0" style="74" hidden="1" customWidth="1"/>
    <col min="4622" max="4622" width="12.44140625" style="74" customWidth="1"/>
    <col min="4623" max="4623" width="9.44140625" style="74" customWidth="1"/>
    <col min="4624" max="4624" width="10" style="74" customWidth="1"/>
    <col min="4625" max="4625" width="12.44140625" style="74" customWidth="1"/>
    <col min="4626" max="4626" width="14.33203125" style="74" customWidth="1"/>
    <col min="4627" max="4633" width="0" style="74" hidden="1" customWidth="1"/>
    <col min="4634" max="4863" width="7.88671875" style="74" customWidth="1"/>
    <col min="4864" max="4864" width="3.33203125" style="74"/>
    <col min="4865" max="4865" width="0" style="74" hidden="1" customWidth="1"/>
    <col min="4866" max="4866" width="11.44140625" style="74" customWidth="1"/>
    <col min="4867" max="4867" width="10.44140625" style="74" customWidth="1"/>
    <col min="4868" max="4868" width="10.6640625" style="74" customWidth="1"/>
    <col min="4869" max="4869" width="52.88671875" style="74" customWidth="1"/>
    <col min="4870" max="4870" width="14.44140625" style="74" customWidth="1"/>
    <col min="4871" max="4871" width="15.44140625" style="74" customWidth="1"/>
    <col min="4872" max="4872" width="13.33203125" style="74" customWidth="1"/>
    <col min="4873" max="4873" width="10.88671875" style="74" customWidth="1"/>
    <col min="4874" max="4874" width="7.88671875" style="74" customWidth="1"/>
    <col min="4875" max="4875" width="13" style="74" customWidth="1"/>
    <col min="4876" max="4876" width="12.44140625" style="74" customWidth="1"/>
    <col min="4877" max="4877" width="0" style="74" hidden="1" customWidth="1"/>
    <col min="4878" max="4878" width="12.44140625" style="74" customWidth="1"/>
    <col min="4879" max="4879" width="9.44140625" style="74" customWidth="1"/>
    <col min="4880" max="4880" width="10" style="74" customWidth="1"/>
    <col min="4881" max="4881" width="12.44140625" style="74" customWidth="1"/>
    <col min="4882" max="4882" width="14.33203125" style="74" customWidth="1"/>
    <col min="4883" max="4889" width="0" style="74" hidden="1" customWidth="1"/>
    <col min="4890" max="5119" width="7.88671875" style="74" customWidth="1"/>
    <col min="5120" max="5120" width="3.33203125" style="74"/>
    <col min="5121" max="5121" width="0" style="74" hidden="1" customWidth="1"/>
    <col min="5122" max="5122" width="11.44140625" style="74" customWidth="1"/>
    <col min="5123" max="5123" width="10.44140625" style="74" customWidth="1"/>
    <col min="5124" max="5124" width="10.6640625" style="74" customWidth="1"/>
    <col min="5125" max="5125" width="52.88671875" style="74" customWidth="1"/>
    <col min="5126" max="5126" width="14.44140625" style="74" customWidth="1"/>
    <col min="5127" max="5127" width="15.44140625" style="74" customWidth="1"/>
    <col min="5128" max="5128" width="13.33203125" style="74" customWidth="1"/>
    <col min="5129" max="5129" width="10.88671875" style="74" customWidth="1"/>
    <col min="5130" max="5130" width="7.88671875" style="74" customWidth="1"/>
    <col min="5131" max="5131" width="13" style="74" customWidth="1"/>
    <col min="5132" max="5132" width="12.44140625" style="74" customWidth="1"/>
    <col min="5133" max="5133" width="0" style="74" hidden="1" customWidth="1"/>
    <col min="5134" max="5134" width="12.44140625" style="74" customWidth="1"/>
    <col min="5135" max="5135" width="9.44140625" style="74" customWidth="1"/>
    <col min="5136" max="5136" width="10" style="74" customWidth="1"/>
    <col min="5137" max="5137" width="12.44140625" style="74" customWidth="1"/>
    <col min="5138" max="5138" width="14.33203125" style="74" customWidth="1"/>
    <col min="5139" max="5145" width="0" style="74" hidden="1" customWidth="1"/>
    <col min="5146" max="5375" width="7.88671875" style="74" customWidth="1"/>
    <col min="5376" max="5376" width="3.33203125" style="74"/>
    <col min="5377" max="5377" width="0" style="74" hidden="1" customWidth="1"/>
    <col min="5378" max="5378" width="11.44140625" style="74" customWidth="1"/>
    <col min="5379" max="5379" width="10.44140625" style="74" customWidth="1"/>
    <col min="5380" max="5380" width="10.6640625" style="74" customWidth="1"/>
    <col min="5381" max="5381" width="52.88671875" style="74" customWidth="1"/>
    <col min="5382" max="5382" width="14.44140625" style="74" customWidth="1"/>
    <col min="5383" max="5383" width="15.44140625" style="74" customWidth="1"/>
    <col min="5384" max="5384" width="13.33203125" style="74" customWidth="1"/>
    <col min="5385" max="5385" width="10.88671875" style="74" customWidth="1"/>
    <col min="5386" max="5386" width="7.88671875" style="74" customWidth="1"/>
    <col min="5387" max="5387" width="13" style="74" customWidth="1"/>
    <col min="5388" max="5388" width="12.44140625" style="74" customWidth="1"/>
    <col min="5389" max="5389" width="0" style="74" hidden="1" customWidth="1"/>
    <col min="5390" max="5390" width="12.44140625" style="74" customWidth="1"/>
    <col min="5391" max="5391" width="9.44140625" style="74" customWidth="1"/>
    <col min="5392" max="5392" width="10" style="74" customWidth="1"/>
    <col min="5393" max="5393" width="12.44140625" style="74" customWidth="1"/>
    <col min="5394" max="5394" width="14.33203125" style="74" customWidth="1"/>
    <col min="5395" max="5401" width="0" style="74" hidden="1" customWidth="1"/>
    <col min="5402" max="5631" width="7.88671875" style="74" customWidth="1"/>
    <col min="5632" max="5632" width="3.33203125" style="74"/>
    <col min="5633" max="5633" width="0" style="74" hidden="1" customWidth="1"/>
    <col min="5634" max="5634" width="11.44140625" style="74" customWidth="1"/>
    <col min="5635" max="5635" width="10.44140625" style="74" customWidth="1"/>
    <col min="5636" max="5636" width="10.6640625" style="74" customWidth="1"/>
    <col min="5637" max="5637" width="52.88671875" style="74" customWidth="1"/>
    <col min="5638" max="5638" width="14.44140625" style="74" customWidth="1"/>
    <col min="5639" max="5639" width="15.44140625" style="74" customWidth="1"/>
    <col min="5640" max="5640" width="13.33203125" style="74" customWidth="1"/>
    <col min="5641" max="5641" width="10.88671875" style="74" customWidth="1"/>
    <col min="5642" max="5642" width="7.88671875" style="74" customWidth="1"/>
    <col min="5643" max="5643" width="13" style="74" customWidth="1"/>
    <col min="5644" max="5644" width="12.44140625" style="74" customWidth="1"/>
    <col min="5645" max="5645" width="0" style="74" hidden="1" customWidth="1"/>
    <col min="5646" max="5646" width="12.44140625" style="74" customWidth="1"/>
    <col min="5647" max="5647" width="9.44140625" style="74" customWidth="1"/>
    <col min="5648" max="5648" width="10" style="74" customWidth="1"/>
    <col min="5649" max="5649" width="12.44140625" style="74" customWidth="1"/>
    <col min="5650" max="5650" width="14.33203125" style="74" customWidth="1"/>
    <col min="5651" max="5657" width="0" style="74" hidden="1" customWidth="1"/>
    <col min="5658" max="5887" width="7.88671875" style="74" customWidth="1"/>
    <col min="5888" max="5888" width="3.33203125" style="74"/>
    <col min="5889" max="5889" width="0" style="74" hidden="1" customWidth="1"/>
    <col min="5890" max="5890" width="11.44140625" style="74" customWidth="1"/>
    <col min="5891" max="5891" width="10.44140625" style="74" customWidth="1"/>
    <col min="5892" max="5892" width="10.6640625" style="74" customWidth="1"/>
    <col min="5893" max="5893" width="52.88671875" style="74" customWidth="1"/>
    <col min="5894" max="5894" width="14.44140625" style="74" customWidth="1"/>
    <col min="5895" max="5895" width="15.44140625" style="74" customWidth="1"/>
    <col min="5896" max="5896" width="13.33203125" style="74" customWidth="1"/>
    <col min="5897" max="5897" width="10.88671875" style="74" customWidth="1"/>
    <col min="5898" max="5898" width="7.88671875" style="74" customWidth="1"/>
    <col min="5899" max="5899" width="13" style="74" customWidth="1"/>
    <col min="5900" max="5900" width="12.44140625" style="74" customWidth="1"/>
    <col min="5901" max="5901" width="0" style="74" hidden="1" customWidth="1"/>
    <col min="5902" max="5902" width="12.44140625" style="74" customWidth="1"/>
    <col min="5903" max="5903" width="9.44140625" style="74" customWidth="1"/>
    <col min="5904" max="5904" width="10" style="74" customWidth="1"/>
    <col min="5905" max="5905" width="12.44140625" style="74" customWidth="1"/>
    <col min="5906" max="5906" width="14.33203125" style="74" customWidth="1"/>
    <col min="5907" max="5913" width="0" style="74" hidden="1" customWidth="1"/>
    <col min="5914" max="6143" width="7.88671875" style="74" customWidth="1"/>
    <col min="6144" max="6144" width="3.33203125" style="74"/>
    <col min="6145" max="6145" width="0" style="74" hidden="1" customWidth="1"/>
    <col min="6146" max="6146" width="11.44140625" style="74" customWidth="1"/>
    <col min="6147" max="6147" width="10.44140625" style="74" customWidth="1"/>
    <col min="6148" max="6148" width="10.6640625" style="74" customWidth="1"/>
    <col min="6149" max="6149" width="52.88671875" style="74" customWidth="1"/>
    <col min="6150" max="6150" width="14.44140625" style="74" customWidth="1"/>
    <col min="6151" max="6151" width="15.44140625" style="74" customWidth="1"/>
    <col min="6152" max="6152" width="13.33203125" style="74" customWidth="1"/>
    <col min="6153" max="6153" width="10.88671875" style="74" customWidth="1"/>
    <col min="6154" max="6154" width="7.88671875" style="74" customWidth="1"/>
    <col min="6155" max="6155" width="13" style="74" customWidth="1"/>
    <col min="6156" max="6156" width="12.44140625" style="74" customWidth="1"/>
    <col min="6157" max="6157" width="0" style="74" hidden="1" customWidth="1"/>
    <col min="6158" max="6158" width="12.44140625" style="74" customWidth="1"/>
    <col min="6159" max="6159" width="9.44140625" style="74" customWidth="1"/>
    <col min="6160" max="6160" width="10" style="74" customWidth="1"/>
    <col min="6161" max="6161" width="12.44140625" style="74" customWidth="1"/>
    <col min="6162" max="6162" width="14.33203125" style="74" customWidth="1"/>
    <col min="6163" max="6169" width="0" style="74" hidden="1" customWidth="1"/>
    <col min="6170" max="6399" width="7.88671875" style="74" customWidth="1"/>
    <col min="6400" max="6400" width="3.33203125" style="74"/>
    <col min="6401" max="6401" width="0" style="74" hidden="1" customWidth="1"/>
    <col min="6402" max="6402" width="11.44140625" style="74" customWidth="1"/>
    <col min="6403" max="6403" width="10.44140625" style="74" customWidth="1"/>
    <col min="6404" max="6404" width="10.6640625" style="74" customWidth="1"/>
    <col min="6405" max="6405" width="52.88671875" style="74" customWidth="1"/>
    <col min="6406" max="6406" width="14.44140625" style="74" customWidth="1"/>
    <col min="6407" max="6407" width="15.44140625" style="74" customWidth="1"/>
    <col min="6408" max="6408" width="13.33203125" style="74" customWidth="1"/>
    <col min="6409" max="6409" width="10.88671875" style="74" customWidth="1"/>
    <col min="6410" max="6410" width="7.88671875" style="74" customWidth="1"/>
    <col min="6411" max="6411" width="13" style="74" customWidth="1"/>
    <col min="6412" max="6412" width="12.44140625" style="74" customWidth="1"/>
    <col min="6413" max="6413" width="0" style="74" hidden="1" customWidth="1"/>
    <col min="6414" max="6414" width="12.44140625" style="74" customWidth="1"/>
    <col min="6415" max="6415" width="9.44140625" style="74" customWidth="1"/>
    <col min="6416" max="6416" width="10" style="74" customWidth="1"/>
    <col min="6417" max="6417" width="12.44140625" style="74" customWidth="1"/>
    <col min="6418" max="6418" width="14.33203125" style="74" customWidth="1"/>
    <col min="6419" max="6425" width="0" style="74" hidden="1" customWidth="1"/>
    <col min="6426" max="6655" width="7.88671875" style="74" customWidth="1"/>
    <col min="6656" max="6656" width="3.33203125" style="74"/>
    <col min="6657" max="6657" width="0" style="74" hidden="1" customWidth="1"/>
    <col min="6658" max="6658" width="11.44140625" style="74" customWidth="1"/>
    <col min="6659" max="6659" width="10.44140625" style="74" customWidth="1"/>
    <col min="6660" max="6660" width="10.6640625" style="74" customWidth="1"/>
    <col min="6661" max="6661" width="52.88671875" style="74" customWidth="1"/>
    <col min="6662" max="6662" width="14.44140625" style="74" customWidth="1"/>
    <col min="6663" max="6663" width="15.44140625" style="74" customWidth="1"/>
    <col min="6664" max="6664" width="13.33203125" style="74" customWidth="1"/>
    <col min="6665" max="6665" width="10.88671875" style="74" customWidth="1"/>
    <col min="6666" max="6666" width="7.88671875" style="74" customWidth="1"/>
    <col min="6667" max="6667" width="13" style="74" customWidth="1"/>
    <col min="6668" max="6668" width="12.44140625" style="74" customWidth="1"/>
    <col min="6669" max="6669" width="0" style="74" hidden="1" customWidth="1"/>
    <col min="6670" max="6670" width="12.44140625" style="74" customWidth="1"/>
    <col min="6671" max="6671" width="9.44140625" style="74" customWidth="1"/>
    <col min="6672" max="6672" width="10" style="74" customWidth="1"/>
    <col min="6673" max="6673" width="12.44140625" style="74" customWidth="1"/>
    <col min="6674" max="6674" width="14.33203125" style="74" customWidth="1"/>
    <col min="6675" max="6681" width="0" style="74" hidden="1" customWidth="1"/>
    <col min="6682" max="6911" width="7.88671875" style="74" customWidth="1"/>
    <col min="6912" max="6912" width="3.33203125" style="74"/>
    <col min="6913" max="6913" width="0" style="74" hidden="1" customWidth="1"/>
    <col min="6914" max="6914" width="11.44140625" style="74" customWidth="1"/>
    <col min="6915" max="6915" width="10.44140625" style="74" customWidth="1"/>
    <col min="6916" max="6916" width="10.6640625" style="74" customWidth="1"/>
    <col min="6917" max="6917" width="52.88671875" style="74" customWidth="1"/>
    <col min="6918" max="6918" width="14.44140625" style="74" customWidth="1"/>
    <col min="6919" max="6919" width="15.44140625" style="74" customWidth="1"/>
    <col min="6920" max="6920" width="13.33203125" style="74" customWidth="1"/>
    <col min="6921" max="6921" width="10.88671875" style="74" customWidth="1"/>
    <col min="6922" max="6922" width="7.88671875" style="74" customWidth="1"/>
    <col min="6923" max="6923" width="13" style="74" customWidth="1"/>
    <col min="6924" max="6924" width="12.44140625" style="74" customWidth="1"/>
    <col min="6925" max="6925" width="0" style="74" hidden="1" customWidth="1"/>
    <col min="6926" max="6926" width="12.44140625" style="74" customWidth="1"/>
    <col min="6927" max="6927" width="9.44140625" style="74" customWidth="1"/>
    <col min="6928" max="6928" width="10" style="74" customWidth="1"/>
    <col min="6929" max="6929" width="12.44140625" style="74" customWidth="1"/>
    <col min="6930" max="6930" width="14.33203125" style="74" customWidth="1"/>
    <col min="6931" max="6937" width="0" style="74" hidden="1" customWidth="1"/>
    <col min="6938" max="7167" width="7.88671875" style="74" customWidth="1"/>
    <col min="7168" max="7168" width="3.33203125" style="74"/>
    <col min="7169" max="7169" width="0" style="74" hidden="1" customWidth="1"/>
    <col min="7170" max="7170" width="11.44140625" style="74" customWidth="1"/>
    <col min="7171" max="7171" width="10.44140625" style="74" customWidth="1"/>
    <col min="7172" max="7172" width="10.6640625" style="74" customWidth="1"/>
    <col min="7173" max="7173" width="52.88671875" style="74" customWidth="1"/>
    <col min="7174" max="7174" width="14.44140625" style="74" customWidth="1"/>
    <col min="7175" max="7175" width="15.44140625" style="74" customWidth="1"/>
    <col min="7176" max="7176" width="13.33203125" style="74" customWidth="1"/>
    <col min="7177" max="7177" width="10.88671875" style="74" customWidth="1"/>
    <col min="7178" max="7178" width="7.88671875" style="74" customWidth="1"/>
    <col min="7179" max="7179" width="13" style="74" customWidth="1"/>
    <col min="7180" max="7180" width="12.44140625" style="74" customWidth="1"/>
    <col min="7181" max="7181" width="0" style="74" hidden="1" customWidth="1"/>
    <col min="7182" max="7182" width="12.44140625" style="74" customWidth="1"/>
    <col min="7183" max="7183" width="9.44140625" style="74" customWidth="1"/>
    <col min="7184" max="7184" width="10" style="74" customWidth="1"/>
    <col min="7185" max="7185" width="12.44140625" style="74" customWidth="1"/>
    <col min="7186" max="7186" width="14.33203125" style="74" customWidth="1"/>
    <col min="7187" max="7193" width="0" style="74" hidden="1" customWidth="1"/>
    <col min="7194" max="7423" width="7.88671875" style="74" customWidth="1"/>
    <col min="7424" max="7424" width="3.33203125" style="74"/>
    <col min="7425" max="7425" width="0" style="74" hidden="1" customWidth="1"/>
    <col min="7426" max="7426" width="11.44140625" style="74" customWidth="1"/>
    <col min="7427" max="7427" width="10.44140625" style="74" customWidth="1"/>
    <col min="7428" max="7428" width="10.6640625" style="74" customWidth="1"/>
    <col min="7429" max="7429" width="52.88671875" style="74" customWidth="1"/>
    <col min="7430" max="7430" width="14.44140625" style="74" customWidth="1"/>
    <col min="7431" max="7431" width="15.44140625" style="74" customWidth="1"/>
    <col min="7432" max="7432" width="13.33203125" style="74" customWidth="1"/>
    <col min="7433" max="7433" width="10.88671875" style="74" customWidth="1"/>
    <col min="7434" max="7434" width="7.88671875" style="74" customWidth="1"/>
    <col min="7435" max="7435" width="13" style="74" customWidth="1"/>
    <col min="7436" max="7436" width="12.44140625" style="74" customWidth="1"/>
    <col min="7437" max="7437" width="0" style="74" hidden="1" customWidth="1"/>
    <col min="7438" max="7438" width="12.44140625" style="74" customWidth="1"/>
    <col min="7439" max="7439" width="9.44140625" style="74" customWidth="1"/>
    <col min="7440" max="7440" width="10" style="74" customWidth="1"/>
    <col min="7441" max="7441" width="12.44140625" style="74" customWidth="1"/>
    <col min="7442" max="7442" width="14.33203125" style="74" customWidth="1"/>
    <col min="7443" max="7449" width="0" style="74" hidden="1" customWidth="1"/>
    <col min="7450" max="7679" width="7.88671875" style="74" customWidth="1"/>
    <col min="7680" max="7680" width="3.33203125" style="74"/>
    <col min="7681" max="7681" width="0" style="74" hidden="1" customWidth="1"/>
    <col min="7682" max="7682" width="11.44140625" style="74" customWidth="1"/>
    <col min="7683" max="7683" width="10.44140625" style="74" customWidth="1"/>
    <col min="7684" max="7684" width="10.6640625" style="74" customWidth="1"/>
    <col min="7685" max="7685" width="52.88671875" style="74" customWidth="1"/>
    <col min="7686" max="7686" width="14.44140625" style="74" customWidth="1"/>
    <col min="7687" max="7687" width="15.44140625" style="74" customWidth="1"/>
    <col min="7688" max="7688" width="13.33203125" style="74" customWidth="1"/>
    <col min="7689" max="7689" width="10.88671875" style="74" customWidth="1"/>
    <col min="7690" max="7690" width="7.88671875" style="74" customWidth="1"/>
    <col min="7691" max="7691" width="13" style="74" customWidth="1"/>
    <col min="7692" max="7692" width="12.44140625" style="74" customWidth="1"/>
    <col min="7693" max="7693" width="0" style="74" hidden="1" customWidth="1"/>
    <col min="7694" max="7694" width="12.44140625" style="74" customWidth="1"/>
    <col min="7695" max="7695" width="9.44140625" style="74" customWidth="1"/>
    <col min="7696" max="7696" width="10" style="74" customWidth="1"/>
    <col min="7697" max="7697" width="12.44140625" style="74" customWidth="1"/>
    <col min="7698" max="7698" width="14.33203125" style="74" customWidth="1"/>
    <col min="7699" max="7705" width="0" style="74" hidden="1" customWidth="1"/>
    <col min="7706" max="7935" width="7.88671875" style="74" customWidth="1"/>
    <col min="7936" max="7936" width="3.33203125" style="74"/>
    <col min="7937" max="7937" width="0" style="74" hidden="1" customWidth="1"/>
    <col min="7938" max="7938" width="11.44140625" style="74" customWidth="1"/>
    <col min="7939" max="7939" width="10.44140625" style="74" customWidth="1"/>
    <col min="7940" max="7940" width="10.6640625" style="74" customWidth="1"/>
    <col min="7941" max="7941" width="52.88671875" style="74" customWidth="1"/>
    <col min="7942" max="7942" width="14.44140625" style="74" customWidth="1"/>
    <col min="7943" max="7943" width="15.44140625" style="74" customWidth="1"/>
    <col min="7944" max="7944" width="13.33203125" style="74" customWidth="1"/>
    <col min="7945" max="7945" width="10.88671875" style="74" customWidth="1"/>
    <col min="7946" max="7946" width="7.88671875" style="74" customWidth="1"/>
    <col min="7947" max="7947" width="13" style="74" customWidth="1"/>
    <col min="7948" max="7948" width="12.44140625" style="74" customWidth="1"/>
    <col min="7949" max="7949" width="0" style="74" hidden="1" customWidth="1"/>
    <col min="7950" max="7950" width="12.44140625" style="74" customWidth="1"/>
    <col min="7951" max="7951" width="9.44140625" style="74" customWidth="1"/>
    <col min="7952" max="7952" width="10" style="74" customWidth="1"/>
    <col min="7953" max="7953" width="12.44140625" style="74" customWidth="1"/>
    <col min="7954" max="7954" width="14.33203125" style="74" customWidth="1"/>
    <col min="7955" max="7961" width="0" style="74" hidden="1" customWidth="1"/>
    <col min="7962" max="8191" width="7.88671875" style="74" customWidth="1"/>
    <col min="8192" max="8192" width="3.33203125" style="74"/>
    <col min="8193" max="8193" width="0" style="74" hidden="1" customWidth="1"/>
    <col min="8194" max="8194" width="11.44140625" style="74" customWidth="1"/>
    <col min="8195" max="8195" width="10.44140625" style="74" customWidth="1"/>
    <col min="8196" max="8196" width="10.6640625" style="74" customWidth="1"/>
    <col min="8197" max="8197" width="52.88671875" style="74" customWidth="1"/>
    <col min="8198" max="8198" width="14.44140625" style="74" customWidth="1"/>
    <col min="8199" max="8199" width="15.44140625" style="74" customWidth="1"/>
    <col min="8200" max="8200" width="13.33203125" style="74" customWidth="1"/>
    <col min="8201" max="8201" width="10.88671875" style="74" customWidth="1"/>
    <col min="8202" max="8202" width="7.88671875" style="74" customWidth="1"/>
    <col min="8203" max="8203" width="13" style="74" customWidth="1"/>
    <col min="8204" max="8204" width="12.44140625" style="74" customWidth="1"/>
    <col min="8205" max="8205" width="0" style="74" hidden="1" customWidth="1"/>
    <col min="8206" max="8206" width="12.44140625" style="74" customWidth="1"/>
    <col min="8207" max="8207" width="9.44140625" style="74" customWidth="1"/>
    <col min="8208" max="8208" width="10" style="74" customWidth="1"/>
    <col min="8209" max="8209" width="12.44140625" style="74" customWidth="1"/>
    <col min="8210" max="8210" width="14.33203125" style="74" customWidth="1"/>
    <col min="8211" max="8217" width="0" style="74" hidden="1" customWidth="1"/>
    <col min="8218" max="8447" width="7.88671875" style="74" customWidth="1"/>
    <col min="8448" max="8448" width="3.33203125" style="74"/>
    <col min="8449" max="8449" width="0" style="74" hidden="1" customWidth="1"/>
    <col min="8450" max="8450" width="11.44140625" style="74" customWidth="1"/>
    <col min="8451" max="8451" width="10.44140625" style="74" customWidth="1"/>
    <col min="8452" max="8452" width="10.6640625" style="74" customWidth="1"/>
    <col min="8453" max="8453" width="52.88671875" style="74" customWidth="1"/>
    <col min="8454" max="8454" width="14.44140625" style="74" customWidth="1"/>
    <col min="8455" max="8455" width="15.44140625" style="74" customWidth="1"/>
    <col min="8456" max="8456" width="13.33203125" style="74" customWidth="1"/>
    <col min="8457" max="8457" width="10.88671875" style="74" customWidth="1"/>
    <col min="8458" max="8458" width="7.88671875" style="74" customWidth="1"/>
    <col min="8459" max="8459" width="13" style="74" customWidth="1"/>
    <col min="8460" max="8460" width="12.44140625" style="74" customWidth="1"/>
    <col min="8461" max="8461" width="0" style="74" hidden="1" customWidth="1"/>
    <col min="8462" max="8462" width="12.44140625" style="74" customWidth="1"/>
    <col min="8463" max="8463" width="9.44140625" style="74" customWidth="1"/>
    <col min="8464" max="8464" width="10" style="74" customWidth="1"/>
    <col min="8465" max="8465" width="12.44140625" style="74" customWidth="1"/>
    <col min="8466" max="8466" width="14.33203125" style="74" customWidth="1"/>
    <col min="8467" max="8473" width="0" style="74" hidden="1" customWidth="1"/>
    <col min="8474" max="8703" width="7.88671875" style="74" customWidth="1"/>
    <col min="8704" max="8704" width="3.33203125" style="74"/>
    <col min="8705" max="8705" width="0" style="74" hidden="1" customWidth="1"/>
    <col min="8706" max="8706" width="11.44140625" style="74" customWidth="1"/>
    <col min="8707" max="8707" width="10.44140625" style="74" customWidth="1"/>
    <col min="8708" max="8708" width="10.6640625" style="74" customWidth="1"/>
    <col min="8709" max="8709" width="52.88671875" style="74" customWidth="1"/>
    <col min="8710" max="8710" width="14.44140625" style="74" customWidth="1"/>
    <col min="8711" max="8711" width="15.44140625" style="74" customWidth="1"/>
    <col min="8712" max="8712" width="13.33203125" style="74" customWidth="1"/>
    <col min="8713" max="8713" width="10.88671875" style="74" customWidth="1"/>
    <col min="8714" max="8714" width="7.88671875" style="74" customWidth="1"/>
    <col min="8715" max="8715" width="13" style="74" customWidth="1"/>
    <col min="8716" max="8716" width="12.44140625" style="74" customWidth="1"/>
    <col min="8717" max="8717" width="0" style="74" hidden="1" customWidth="1"/>
    <col min="8718" max="8718" width="12.44140625" style="74" customWidth="1"/>
    <col min="8719" max="8719" width="9.44140625" style="74" customWidth="1"/>
    <col min="8720" max="8720" width="10" style="74" customWidth="1"/>
    <col min="8721" max="8721" width="12.44140625" style="74" customWidth="1"/>
    <col min="8722" max="8722" width="14.33203125" style="74" customWidth="1"/>
    <col min="8723" max="8729" width="0" style="74" hidden="1" customWidth="1"/>
    <col min="8730" max="8959" width="7.88671875" style="74" customWidth="1"/>
    <col min="8960" max="8960" width="3.33203125" style="74"/>
    <col min="8961" max="8961" width="0" style="74" hidden="1" customWidth="1"/>
    <col min="8962" max="8962" width="11.44140625" style="74" customWidth="1"/>
    <col min="8963" max="8963" width="10.44140625" style="74" customWidth="1"/>
    <col min="8964" max="8964" width="10.6640625" style="74" customWidth="1"/>
    <col min="8965" max="8965" width="52.88671875" style="74" customWidth="1"/>
    <col min="8966" max="8966" width="14.44140625" style="74" customWidth="1"/>
    <col min="8967" max="8967" width="15.44140625" style="74" customWidth="1"/>
    <col min="8968" max="8968" width="13.33203125" style="74" customWidth="1"/>
    <col min="8969" max="8969" width="10.88671875" style="74" customWidth="1"/>
    <col min="8970" max="8970" width="7.88671875" style="74" customWidth="1"/>
    <col min="8971" max="8971" width="13" style="74" customWidth="1"/>
    <col min="8972" max="8972" width="12.44140625" style="74" customWidth="1"/>
    <col min="8973" max="8973" width="0" style="74" hidden="1" customWidth="1"/>
    <col min="8974" max="8974" width="12.44140625" style="74" customWidth="1"/>
    <col min="8975" max="8975" width="9.44140625" style="74" customWidth="1"/>
    <col min="8976" max="8976" width="10" style="74" customWidth="1"/>
    <col min="8977" max="8977" width="12.44140625" style="74" customWidth="1"/>
    <col min="8978" max="8978" width="14.33203125" style="74" customWidth="1"/>
    <col min="8979" max="8985" width="0" style="74" hidden="1" customWidth="1"/>
    <col min="8986" max="9215" width="7.88671875" style="74" customWidth="1"/>
    <col min="9216" max="9216" width="3.33203125" style="74"/>
    <col min="9217" max="9217" width="0" style="74" hidden="1" customWidth="1"/>
    <col min="9218" max="9218" width="11.44140625" style="74" customWidth="1"/>
    <col min="9219" max="9219" width="10.44140625" style="74" customWidth="1"/>
    <col min="9220" max="9220" width="10.6640625" style="74" customWidth="1"/>
    <col min="9221" max="9221" width="52.88671875" style="74" customWidth="1"/>
    <col min="9222" max="9222" width="14.44140625" style="74" customWidth="1"/>
    <col min="9223" max="9223" width="15.44140625" style="74" customWidth="1"/>
    <col min="9224" max="9224" width="13.33203125" style="74" customWidth="1"/>
    <col min="9225" max="9225" width="10.88671875" style="74" customWidth="1"/>
    <col min="9226" max="9226" width="7.88671875" style="74" customWidth="1"/>
    <col min="9227" max="9227" width="13" style="74" customWidth="1"/>
    <col min="9228" max="9228" width="12.44140625" style="74" customWidth="1"/>
    <col min="9229" max="9229" width="0" style="74" hidden="1" customWidth="1"/>
    <col min="9230" max="9230" width="12.44140625" style="74" customWidth="1"/>
    <col min="9231" max="9231" width="9.44140625" style="74" customWidth="1"/>
    <col min="9232" max="9232" width="10" style="74" customWidth="1"/>
    <col min="9233" max="9233" width="12.44140625" style="74" customWidth="1"/>
    <col min="9234" max="9234" width="14.33203125" style="74" customWidth="1"/>
    <col min="9235" max="9241" width="0" style="74" hidden="1" customWidth="1"/>
    <col min="9242" max="9471" width="7.88671875" style="74" customWidth="1"/>
    <col min="9472" max="9472" width="3.33203125" style="74"/>
    <col min="9473" max="9473" width="0" style="74" hidden="1" customWidth="1"/>
    <col min="9474" max="9474" width="11.44140625" style="74" customWidth="1"/>
    <col min="9475" max="9475" width="10.44140625" style="74" customWidth="1"/>
    <col min="9476" max="9476" width="10.6640625" style="74" customWidth="1"/>
    <col min="9477" max="9477" width="52.88671875" style="74" customWidth="1"/>
    <col min="9478" max="9478" width="14.44140625" style="74" customWidth="1"/>
    <col min="9479" max="9479" width="15.44140625" style="74" customWidth="1"/>
    <col min="9480" max="9480" width="13.33203125" style="74" customWidth="1"/>
    <col min="9481" max="9481" width="10.88671875" style="74" customWidth="1"/>
    <col min="9482" max="9482" width="7.88671875" style="74" customWidth="1"/>
    <col min="9483" max="9483" width="13" style="74" customWidth="1"/>
    <col min="9484" max="9484" width="12.44140625" style="74" customWidth="1"/>
    <col min="9485" max="9485" width="0" style="74" hidden="1" customWidth="1"/>
    <col min="9486" max="9486" width="12.44140625" style="74" customWidth="1"/>
    <col min="9487" max="9487" width="9.44140625" style="74" customWidth="1"/>
    <col min="9488" max="9488" width="10" style="74" customWidth="1"/>
    <col min="9489" max="9489" width="12.44140625" style="74" customWidth="1"/>
    <col min="9490" max="9490" width="14.33203125" style="74" customWidth="1"/>
    <col min="9491" max="9497" width="0" style="74" hidden="1" customWidth="1"/>
    <col min="9498" max="9727" width="7.88671875" style="74" customWidth="1"/>
    <col min="9728" max="9728" width="3.33203125" style="74"/>
    <col min="9729" max="9729" width="0" style="74" hidden="1" customWidth="1"/>
    <col min="9730" max="9730" width="11.44140625" style="74" customWidth="1"/>
    <col min="9731" max="9731" width="10.44140625" style="74" customWidth="1"/>
    <col min="9732" max="9732" width="10.6640625" style="74" customWidth="1"/>
    <col min="9733" max="9733" width="52.88671875" style="74" customWidth="1"/>
    <col min="9734" max="9734" width="14.44140625" style="74" customWidth="1"/>
    <col min="9735" max="9735" width="15.44140625" style="74" customWidth="1"/>
    <col min="9736" max="9736" width="13.33203125" style="74" customWidth="1"/>
    <col min="9737" max="9737" width="10.88671875" style="74" customWidth="1"/>
    <col min="9738" max="9738" width="7.88671875" style="74" customWidth="1"/>
    <col min="9739" max="9739" width="13" style="74" customWidth="1"/>
    <col min="9740" max="9740" width="12.44140625" style="74" customWidth="1"/>
    <col min="9741" max="9741" width="0" style="74" hidden="1" customWidth="1"/>
    <col min="9742" max="9742" width="12.44140625" style="74" customWidth="1"/>
    <col min="9743" max="9743" width="9.44140625" style="74" customWidth="1"/>
    <col min="9744" max="9744" width="10" style="74" customWidth="1"/>
    <col min="9745" max="9745" width="12.44140625" style="74" customWidth="1"/>
    <col min="9746" max="9746" width="14.33203125" style="74" customWidth="1"/>
    <col min="9747" max="9753" width="0" style="74" hidden="1" customWidth="1"/>
    <col min="9754" max="9983" width="7.88671875" style="74" customWidth="1"/>
    <col min="9984" max="9984" width="3.33203125" style="74"/>
    <col min="9985" max="9985" width="0" style="74" hidden="1" customWidth="1"/>
    <col min="9986" max="9986" width="11.44140625" style="74" customWidth="1"/>
    <col min="9987" max="9987" width="10.44140625" style="74" customWidth="1"/>
    <col min="9988" max="9988" width="10.6640625" style="74" customWidth="1"/>
    <col min="9989" max="9989" width="52.88671875" style="74" customWidth="1"/>
    <col min="9990" max="9990" width="14.44140625" style="74" customWidth="1"/>
    <col min="9991" max="9991" width="15.44140625" style="74" customWidth="1"/>
    <col min="9992" max="9992" width="13.33203125" style="74" customWidth="1"/>
    <col min="9993" max="9993" width="10.88671875" style="74" customWidth="1"/>
    <col min="9994" max="9994" width="7.88671875" style="74" customWidth="1"/>
    <col min="9995" max="9995" width="13" style="74" customWidth="1"/>
    <col min="9996" max="9996" width="12.44140625" style="74" customWidth="1"/>
    <col min="9997" max="9997" width="0" style="74" hidden="1" customWidth="1"/>
    <col min="9998" max="9998" width="12.44140625" style="74" customWidth="1"/>
    <col min="9999" max="9999" width="9.44140625" style="74" customWidth="1"/>
    <col min="10000" max="10000" width="10" style="74" customWidth="1"/>
    <col min="10001" max="10001" width="12.44140625" style="74" customWidth="1"/>
    <col min="10002" max="10002" width="14.33203125" style="74" customWidth="1"/>
    <col min="10003" max="10009" width="0" style="74" hidden="1" customWidth="1"/>
    <col min="10010" max="10239" width="7.88671875" style="74" customWidth="1"/>
    <col min="10240" max="10240" width="3.33203125" style="74"/>
    <col min="10241" max="10241" width="0" style="74" hidden="1" customWidth="1"/>
    <col min="10242" max="10242" width="11.44140625" style="74" customWidth="1"/>
    <col min="10243" max="10243" width="10.44140625" style="74" customWidth="1"/>
    <col min="10244" max="10244" width="10.6640625" style="74" customWidth="1"/>
    <col min="10245" max="10245" width="52.88671875" style="74" customWidth="1"/>
    <col min="10246" max="10246" width="14.44140625" style="74" customWidth="1"/>
    <col min="10247" max="10247" width="15.44140625" style="74" customWidth="1"/>
    <col min="10248" max="10248" width="13.33203125" style="74" customWidth="1"/>
    <col min="10249" max="10249" width="10.88671875" style="74" customWidth="1"/>
    <col min="10250" max="10250" width="7.88671875" style="74" customWidth="1"/>
    <col min="10251" max="10251" width="13" style="74" customWidth="1"/>
    <col min="10252" max="10252" width="12.44140625" style="74" customWidth="1"/>
    <col min="10253" max="10253" width="0" style="74" hidden="1" customWidth="1"/>
    <col min="10254" max="10254" width="12.44140625" style="74" customWidth="1"/>
    <col min="10255" max="10255" width="9.44140625" style="74" customWidth="1"/>
    <col min="10256" max="10256" width="10" style="74" customWidth="1"/>
    <col min="10257" max="10257" width="12.44140625" style="74" customWidth="1"/>
    <col min="10258" max="10258" width="14.33203125" style="74" customWidth="1"/>
    <col min="10259" max="10265" width="0" style="74" hidden="1" customWidth="1"/>
    <col min="10266" max="10495" width="7.88671875" style="74" customWidth="1"/>
    <col min="10496" max="10496" width="3.33203125" style="74"/>
    <col min="10497" max="10497" width="0" style="74" hidden="1" customWidth="1"/>
    <col min="10498" max="10498" width="11.44140625" style="74" customWidth="1"/>
    <col min="10499" max="10499" width="10.44140625" style="74" customWidth="1"/>
    <col min="10500" max="10500" width="10.6640625" style="74" customWidth="1"/>
    <col min="10501" max="10501" width="52.88671875" style="74" customWidth="1"/>
    <col min="10502" max="10502" width="14.44140625" style="74" customWidth="1"/>
    <col min="10503" max="10503" width="15.44140625" style="74" customWidth="1"/>
    <col min="10504" max="10504" width="13.33203125" style="74" customWidth="1"/>
    <col min="10505" max="10505" width="10.88671875" style="74" customWidth="1"/>
    <col min="10506" max="10506" width="7.88671875" style="74" customWidth="1"/>
    <col min="10507" max="10507" width="13" style="74" customWidth="1"/>
    <col min="10508" max="10508" width="12.44140625" style="74" customWidth="1"/>
    <col min="10509" max="10509" width="0" style="74" hidden="1" customWidth="1"/>
    <col min="10510" max="10510" width="12.44140625" style="74" customWidth="1"/>
    <col min="10511" max="10511" width="9.44140625" style="74" customWidth="1"/>
    <col min="10512" max="10512" width="10" style="74" customWidth="1"/>
    <col min="10513" max="10513" width="12.44140625" style="74" customWidth="1"/>
    <col min="10514" max="10514" width="14.33203125" style="74" customWidth="1"/>
    <col min="10515" max="10521" width="0" style="74" hidden="1" customWidth="1"/>
    <col min="10522" max="10751" width="7.88671875" style="74" customWidth="1"/>
    <col min="10752" max="10752" width="3.33203125" style="74"/>
    <col min="10753" max="10753" width="0" style="74" hidden="1" customWidth="1"/>
    <col min="10754" max="10754" width="11.44140625" style="74" customWidth="1"/>
    <col min="10755" max="10755" width="10.44140625" style="74" customWidth="1"/>
    <col min="10756" max="10756" width="10.6640625" style="74" customWidth="1"/>
    <col min="10757" max="10757" width="52.88671875" style="74" customWidth="1"/>
    <col min="10758" max="10758" width="14.44140625" style="74" customWidth="1"/>
    <col min="10759" max="10759" width="15.44140625" style="74" customWidth="1"/>
    <col min="10760" max="10760" width="13.33203125" style="74" customWidth="1"/>
    <col min="10761" max="10761" width="10.88671875" style="74" customWidth="1"/>
    <col min="10762" max="10762" width="7.88671875" style="74" customWidth="1"/>
    <col min="10763" max="10763" width="13" style="74" customWidth="1"/>
    <col min="10764" max="10764" width="12.44140625" style="74" customWidth="1"/>
    <col min="10765" max="10765" width="0" style="74" hidden="1" customWidth="1"/>
    <col min="10766" max="10766" width="12.44140625" style="74" customWidth="1"/>
    <col min="10767" max="10767" width="9.44140625" style="74" customWidth="1"/>
    <col min="10768" max="10768" width="10" style="74" customWidth="1"/>
    <col min="10769" max="10769" width="12.44140625" style="74" customWidth="1"/>
    <col min="10770" max="10770" width="14.33203125" style="74" customWidth="1"/>
    <col min="10771" max="10777" width="0" style="74" hidden="1" customWidth="1"/>
    <col min="10778" max="11007" width="7.88671875" style="74" customWidth="1"/>
    <col min="11008" max="11008" width="3.33203125" style="74"/>
    <col min="11009" max="11009" width="0" style="74" hidden="1" customWidth="1"/>
    <col min="11010" max="11010" width="11.44140625" style="74" customWidth="1"/>
    <col min="11011" max="11011" width="10.44140625" style="74" customWidth="1"/>
    <col min="11012" max="11012" width="10.6640625" style="74" customWidth="1"/>
    <col min="11013" max="11013" width="52.88671875" style="74" customWidth="1"/>
    <col min="11014" max="11014" width="14.44140625" style="74" customWidth="1"/>
    <col min="11015" max="11015" width="15.44140625" style="74" customWidth="1"/>
    <col min="11016" max="11016" width="13.33203125" style="74" customWidth="1"/>
    <col min="11017" max="11017" width="10.88671875" style="74" customWidth="1"/>
    <col min="11018" max="11018" width="7.88671875" style="74" customWidth="1"/>
    <col min="11019" max="11019" width="13" style="74" customWidth="1"/>
    <col min="11020" max="11020" width="12.44140625" style="74" customWidth="1"/>
    <col min="11021" max="11021" width="0" style="74" hidden="1" customWidth="1"/>
    <col min="11022" max="11022" width="12.44140625" style="74" customWidth="1"/>
    <col min="11023" max="11023" width="9.44140625" style="74" customWidth="1"/>
    <col min="11024" max="11024" width="10" style="74" customWidth="1"/>
    <col min="11025" max="11025" width="12.44140625" style="74" customWidth="1"/>
    <col min="11026" max="11026" width="14.33203125" style="74" customWidth="1"/>
    <col min="11027" max="11033" width="0" style="74" hidden="1" customWidth="1"/>
    <col min="11034" max="11263" width="7.88671875" style="74" customWidth="1"/>
    <col min="11264" max="11264" width="3.33203125" style="74"/>
    <col min="11265" max="11265" width="0" style="74" hidden="1" customWidth="1"/>
    <col min="11266" max="11266" width="11.44140625" style="74" customWidth="1"/>
    <col min="11267" max="11267" width="10.44140625" style="74" customWidth="1"/>
    <col min="11268" max="11268" width="10.6640625" style="74" customWidth="1"/>
    <col min="11269" max="11269" width="52.88671875" style="74" customWidth="1"/>
    <col min="11270" max="11270" width="14.44140625" style="74" customWidth="1"/>
    <col min="11271" max="11271" width="15.44140625" style="74" customWidth="1"/>
    <col min="11272" max="11272" width="13.33203125" style="74" customWidth="1"/>
    <col min="11273" max="11273" width="10.88671875" style="74" customWidth="1"/>
    <col min="11274" max="11274" width="7.88671875" style="74" customWidth="1"/>
    <col min="11275" max="11275" width="13" style="74" customWidth="1"/>
    <col min="11276" max="11276" width="12.44140625" style="74" customWidth="1"/>
    <col min="11277" max="11277" width="0" style="74" hidden="1" customWidth="1"/>
    <col min="11278" max="11278" width="12.44140625" style="74" customWidth="1"/>
    <col min="11279" max="11279" width="9.44140625" style="74" customWidth="1"/>
    <col min="11280" max="11280" width="10" style="74" customWidth="1"/>
    <col min="11281" max="11281" width="12.44140625" style="74" customWidth="1"/>
    <col min="11282" max="11282" width="14.33203125" style="74" customWidth="1"/>
    <col min="11283" max="11289" width="0" style="74" hidden="1" customWidth="1"/>
    <col min="11290" max="11519" width="7.88671875" style="74" customWidth="1"/>
    <col min="11520" max="11520" width="3.33203125" style="74"/>
    <col min="11521" max="11521" width="0" style="74" hidden="1" customWidth="1"/>
    <col min="11522" max="11522" width="11.44140625" style="74" customWidth="1"/>
    <col min="11523" max="11523" width="10.44140625" style="74" customWidth="1"/>
    <col min="11524" max="11524" width="10.6640625" style="74" customWidth="1"/>
    <col min="11525" max="11525" width="52.88671875" style="74" customWidth="1"/>
    <col min="11526" max="11526" width="14.44140625" style="74" customWidth="1"/>
    <col min="11527" max="11527" width="15.44140625" style="74" customWidth="1"/>
    <col min="11528" max="11528" width="13.33203125" style="74" customWidth="1"/>
    <col min="11529" max="11529" width="10.88671875" style="74" customWidth="1"/>
    <col min="11530" max="11530" width="7.88671875" style="74" customWidth="1"/>
    <col min="11531" max="11531" width="13" style="74" customWidth="1"/>
    <col min="11532" max="11532" width="12.44140625" style="74" customWidth="1"/>
    <col min="11533" max="11533" width="0" style="74" hidden="1" customWidth="1"/>
    <col min="11534" max="11534" width="12.44140625" style="74" customWidth="1"/>
    <col min="11535" max="11535" width="9.44140625" style="74" customWidth="1"/>
    <col min="11536" max="11536" width="10" style="74" customWidth="1"/>
    <col min="11537" max="11537" width="12.44140625" style="74" customWidth="1"/>
    <col min="11538" max="11538" width="14.33203125" style="74" customWidth="1"/>
    <col min="11539" max="11545" width="0" style="74" hidden="1" customWidth="1"/>
    <col min="11546" max="11775" width="7.88671875" style="74" customWidth="1"/>
    <col min="11776" max="11776" width="3.33203125" style="74"/>
    <col min="11777" max="11777" width="0" style="74" hidden="1" customWidth="1"/>
    <col min="11778" max="11778" width="11.44140625" style="74" customWidth="1"/>
    <col min="11779" max="11779" width="10.44140625" style="74" customWidth="1"/>
    <col min="11780" max="11780" width="10.6640625" style="74" customWidth="1"/>
    <col min="11781" max="11781" width="52.88671875" style="74" customWidth="1"/>
    <col min="11782" max="11782" width="14.44140625" style="74" customWidth="1"/>
    <col min="11783" max="11783" width="15.44140625" style="74" customWidth="1"/>
    <col min="11784" max="11784" width="13.33203125" style="74" customWidth="1"/>
    <col min="11785" max="11785" width="10.88671875" style="74" customWidth="1"/>
    <col min="11786" max="11786" width="7.88671875" style="74" customWidth="1"/>
    <col min="11787" max="11787" width="13" style="74" customWidth="1"/>
    <col min="11788" max="11788" width="12.44140625" style="74" customWidth="1"/>
    <col min="11789" max="11789" width="0" style="74" hidden="1" customWidth="1"/>
    <col min="11790" max="11790" width="12.44140625" style="74" customWidth="1"/>
    <col min="11791" max="11791" width="9.44140625" style="74" customWidth="1"/>
    <col min="11792" max="11792" width="10" style="74" customWidth="1"/>
    <col min="11793" max="11793" width="12.44140625" style="74" customWidth="1"/>
    <col min="11794" max="11794" width="14.33203125" style="74" customWidth="1"/>
    <col min="11795" max="11801" width="0" style="74" hidden="1" customWidth="1"/>
    <col min="11802" max="12031" width="7.88671875" style="74" customWidth="1"/>
    <col min="12032" max="12032" width="3.33203125" style="74"/>
    <col min="12033" max="12033" width="0" style="74" hidden="1" customWidth="1"/>
    <col min="12034" max="12034" width="11.44140625" style="74" customWidth="1"/>
    <col min="12035" max="12035" width="10.44140625" style="74" customWidth="1"/>
    <col min="12036" max="12036" width="10.6640625" style="74" customWidth="1"/>
    <col min="12037" max="12037" width="52.88671875" style="74" customWidth="1"/>
    <col min="12038" max="12038" width="14.44140625" style="74" customWidth="1"/>
    <col min="12039" max="12039" width="15.44140625" style="74" customWidth="1"/>
    <col min="12040" max="12040" width="13.33203125" style="74" customWidth="1"/>
    <col min="12041" max="12041" width="10.88671875" style="74" customWidth="1"/>
    <col min="12042" max="12042" width="7.88671875" style="74" customWidth="1"/>
    <col min="12043" max="12043" width="13" style="74" customWidth="1"/>
    <col min="12044" max="12044" width="12.44140625" style="74" customWidth="1"/>
    <col min="12045" max="12045" width="0" style="74" hidden="1" customWidth="1"/>
    <col min="12046" max="12046" width="12.44140625" style="74" customWidth="1"/>
    <col min="12047" max="12047" width="9.44140625" style="74" customWidth="1"/>
    <col min="12048" max="12048" width="10" style="74" customWidth="1"/>
    <col min="12049" max="12049" width="12.44140625" style="74" customWidth="1"/>
    <col min="12050" max="12050" width="14.33203125" style="74" customWidth="1"/>
    <col min="12051" max="12057" width="0" style="74" hidden="1" customWidth="1"/>
    <col min="12058" max="12287" width="7.88671875" style="74" customWidth="1"/>
    <col min="12288" max="12288" width="3.33203125" style="74"/>
    <col min="12289" max="12289" width="0" style="74" hidden="1" customWidth="1"/>
    <col min="12290" max="12290" width="11.44140625" style="74" customWidth="1"/>
    <col min="12291" max="12291" width="10.44140625" style="74" customWidth="1"/>
    <col min="12292" max="12292" width="10.6640625" style="74" customWidth="1"/>
    <col min="12293" max="12293" width="52.88671875" style="74" customWidth="1"/>
    <col min="12294" max="12294" width="14.44140625" style="74" customWidth="1"/>
    <col min="12295" max="12295" width="15.44140625" style="74" customWidth="1"/>
    <col min="12296" max="12296" width="13.33203125" style="74" customWidth="1"/>
    <col min="12297" max="12297" width="10.88671875" style="74" customWidth="1"/>
    <col min="12298" max="12298" width="7.88671875" style="74" customWidth="1"/>
    <col min="12299" max="12299" width="13" style="74" customWidth="1"/>
    <col min="12300" max="12300" width="12.44140625" style="74" customWidth="1"/>
    <col min="12301" max="12301" width="0" style="74" hidden="1" customWidth="1"/>
    <col min="12302" max="12302" width="12.44140625" style="74" customWidth="1"/>
    <col min="12303" max="12303" width="9.44140625" style="74" customWidth="1"/>
    <col min="12304" max="12304" width="10" style="74" customWidth="1"/>
    <col min="12305" max="12305" width="12.44140625" style="74" customWidth="1"/>
    <col min="12306" max="12306" width="14.33203125" style="74" customWidth="1"/>
    <col min="12307" max="12313" width="0" style="74" hidden="1" customWidth="1"/>
    <col min="12314" max="12543" width="7.88671875" style="74" customWidth="1"/>
    <col min="12544" max="12544" width="3.33203125" style="74"/>
    <col min="12545" max="12545" width="0" style="74" hidden="1" customWidth="1"/>
    <col min="12546" max="12546" width="11.44140625" style="74" customWidth="1"/>
    <col min="12547" max="12547" width="10.44140625" style="74" customWidth="1"/>
    <col min="12548" max="12548" width="10.6640625" style="74" customWidth="1"/>
    <col min="12549" max="12549" width="52.88671875" style="74" customWidth="1"/>
    <col min="12550" max="12550" width="14.44140625" style="74" customWidth="1"/>
    <col min="12551" max="12551" width="15.44140625" style="74" customWidth="1"/>
    <col min="12552" max="12552" width="13.33203125" style="74" customWidth="1"/>
    <col min="12553" max="12553" width="10.88671875" style="74" customWidth="1"/>
    <col min="12554" max="12554" width="7.88671875" style="74" customWidth="1"/>
    <col min="12555" max="12555" width="13" style="74" customWidth="1"/>
    <col min="12556" max="12556" width="12.44140625" style="74" customWidth="1"/>
    <col min="12557" max="12557" width="0" style="74" hidden="1" customWidth="1"/>
    <col min="12558" max="12558" width="12.44140625" style="74" customWidth="1"/>
    <col min="12559" max="12559" width="9.44140625" style="74" customWidth="1"/>
    <col min="12560" max="12560" width="10" style="74" customWidth="1"/>
    <col min="12561" max="12561" width="12.44140625" style="74" customWidth="1"/>
    <col min="12562" max="12562" width="14.33203125" style="74" customWidth="1"/>
    <col min="12563" max="12569" width="0" style="74" hidden="1" customWidth="1"/>
    <col min="12570" max="12799" width="7.88671875" style="74" customWidth="1"/>
    <col min="12800" max="12800" width="3.33203125" style="74"/>
    <col min="12801" max="12801" width="0" style="74" hidden="1" customWidth="1"/>
    <col min="12802" max="12802" width="11.44140625" style="74" customWidth="1"/>
    <col min="12803" max="12803" width="10.44140625" style="74" customWidth="1"/>
    <col min="12804" max="12804" width="10.6640625" style="74" customWidth="1"/>
    <col min="12805" max="12805" width="52.88671875" style="74" customWidth="1"/>
    <col min="12806" max="12806" width="14.44140625" style="74" customWidth="1"/>
    <col min="12807" max="12807" width="15.44140625" style="74" customWidth="1"/>
    <col min="12808" max="12808" width="13.33203125" style="74" customWidth="1"/>
    <col min="12809" max="12809" width="10.88671875" style="74" customWidth="1"/>
    <col min="12810" max="12810" width="7.88671875" style="74" customWidth="1"/>
    <col min="12811" max="12811" width="13" style="74" customWidth="1"/>
    <col min="12812" max="12812" width="12.44140625" style="74" customWidth="1"/>
    <col min="12813" max="12813" width="0" style="74" hidden="1" customWidth="1"/>
    <col min="12814" max="12814" width="12.44140625" style="74" customWidth="1"/>
    <col min="12815" max="12815" width="9.44140625" style="74" customWidth="1"/>
    <col min="12816" max="12816" width="10" style="74" customWidth="1"/>
    <col min="12817" max="12817" width="12.44140625" style="74" customWidth="1"/>
    <col min="12818" max="12818" width="14.33203125" style="74" customWidth="1"/>
    <col min="12819" max="12825" width="0" style="74" hidden="1" customWidth="1"/>
    <col min="12826" max="13055" width="7.88671875" style="74" customWidth="1"/>
    <col min="13056" max="13056" width="3.33203125" style="74"/>
    <col min="13057" max="13057" width="0" style="74" hidden="1" customWidth="1"/>
    <col min="13058" max="13058" width="11.44140625" style="74" customWidth="1"/>
    <col min="13059" max="13059" width="10.44140625" style="74" customWidth="1"/>
    <col min="13060" max="13060" width="10.6640625" style="74" customWidth="1"/>
    <col min="13061" max="13061" width="52.88671875" style="74" customWidth="1"/>
    <col min="13062" max="13062" width="14.44140625" style="74" customWidth="1"/>
    <col min="13063" max="13063" width="15.44140625" style="74" customWidth="1"/>
    <col min="13064" max="13064" width="13.33203125" style="74" customWidth="1"/>
    <col min="13065" max="13065" width="10.88671875" style="74" customWidth="1"/>
    <col min="13066" max="13066" width="7.88671875" style="74" customWidth="1"/>
    <col min="13067" max="13067" width="13" style="74" customWidth="1"/>
    <col min="13068" max="13068" width="12.44140625" style="74" customWidth="1"/>
    <col min="13069" max="13069" width="0" style="74" hidden="1" customWidth="1"/>
    <col min="13070" max="13070" width="12.44140625" style="74" customWidth="1"/>
    <col min="13071" max="13071" width="9.44140625" style="74" customWidth="1"/>
    <col min="13072" max="13072" width="10" style="74" customWidth="1"/>
    <col min="13073" max="13073" width="12.44140625" style="74" customWidth="1"/>
    <col min="13074" max="13074" width="14.33203125" style="74" customWidth="1"/>
    <col min="13075" max="13081" width="0" style="74" hidden="1" customWidth="1"/>
    <col min="13082" max="13311" width="7.88671875" style="74" customWidth="1"/>
    <col min="13312" max="13312" width="3.33203125" style="74"/>
    <col min="13313" max="13313" width="0" style="74" hidden="1" customWidth="1"/>
    <col min="13314" max="13314" width="11.44140625" style="74" customWidth="1"/>
    <col min="13315" max="13315" width="10.44140625" style="74" customWidth="1"/>
    <col min="13316" max="13316" width="10.6640625" style="74" customWidth="1"/>
    <col min="13317" max="13317" width="52.88671875" style="74" customWidth="1"/>
    <col min="13318" max="13318" width="14.44140625" style="74" customWidth="1"/>
    <col min="13319" max="13319" width="15.44140625" style="74" customWidth="1"/>
    <col min="13320" max="13320" width="13.33203125" style="74" customWidth="1"/>
    <col min="13321" max="13321" width="10.88671875" style="74" customWidth="1"/>
    <col min="13322" max="13322" width="7.88671875" style="74" customWidth="1"/>
    <col min="13323" max="13323" width="13" style="74" customWidth="1"/>
    <col min="13324" max="13324" width="12.44140625" style="74" customWidth="1"/>
    <col min="13325" max="13325" width="0" style="74" hidden="1" customWidth="1"/>
    <col min="13326" max="13326" width="12.44140625" style="74" customWidth="1"/>
    <col min="13327" max="13327" width="9.44140625" style="74" customWidth="1"/>
    <col min="13328" max="13328" width="10" style="74" customWidth="1"/>
    <col min="13329" max="13329" width="12.44140625" style="74" customWidth="1"/>
    <col min="13330" max="13330" width="14.33203125" style="74" customWidth="1"/>
    <col min="13331" max="13337" width="0" style="74" hidden="1" customWidth="1"/>
    <col min="13338" max="13567" width="7.88671875" style="74" customWidth="1"/>
    <col min="13568" max="13568" width="3.33203125" style="74"/>
    <col min="13569" max="13569" width="0" style="74" hidden="1" customWidth="1"/>
    <col min="13570" max="13570" width="11.44140625" style="74" customWidth="1"/>
    <col min="13571" max="13571" width="10.44140625" style="74" customWidth="1"/>
    <col min="13572" max="13572" width="10.6640625" style="74" customWidth="1"/>
    <col min="13573" max="13573" width="52.88671875" style="74" customWidth="1"/>
    <col min="13574" max="13574" width="14.44140625" style="74" customWidth="1"/>
    <col min="13575" max="13575" width="15.44140625" style="74" customWidth="1"/>
    <col min="13576" max="13576" width="13.33203125" style="74" customWidth="1"/>
    <col min="13577" max="13577" width="10.88671875" style="74" customWidth="1"/>
    <col min="13578" max="13578" width="7.88671875" style="74" customWidth="1"/>
    <col min="13579" max="13579" width="13" style="74" customWidth="1"/>
    <col min="13580" max="13580" width="12.44140625" style="74" customWidth="1"/>
    <col min="13581" max="13581" width="0" style="74" hidden="1" customWidth="1"/>
    <col min="13582" max="13582" width="12.44140625" style="74" customWidth="1"/>
    <col min="13583" max="13583" width="9.44140625" style="74" customWidth="1"/>
    <col min="13584" max="13584" width="10" style="74" customWidth="1"/>
    <col min="13585" max="13585" width="12.44140625" style="74" customWidth="1"/>
    <col min="13586" max="13586" width="14.33203125" style="74" customWidth="1"/>
    <col min="13587" max="13593" width="0" style="74" hidden="1" customWidth="1"/>
    <col min="13594" max="13823" width="7.88671875" style="74" customWidth="1"/>
    <col min="13824" max="13824" width="3.33203125" style="74"/>
    <col min="13825" max="13825" width="0" style="74" hidden="1" customWidth="1"/>
    <col min="13826" max="13826" width="11.44140625" style="74" customWidth="1"/>
    <col min="13827" max="13827" width="10.44140625" style="74" customWidth="1"/>
    <col min="13828" max="13828" width="10.6640625" style="74" customWidth="1"/>
    <col min="13829" max="13829" width="52.88671875" style="74" customWidth="1"/>
    <col min="13830" max="13830" width="14.44140625" style="74" customWidth="1"/>
    <col min="13831" max="13831" width="15.44140625" style="74" customWidth="1"/>
    <col min="13832" max="13832" width="13.33203125" style="74" customWidth="1"/>
    <col min="13833" max="13833" width="10.88671875" style="74" customWidth="1"/>
    <col min="13834" max="13834" width="7.88671875" style="74" customWidth="1"/>
    <col min="13835" max="13835" width="13" style="74" customWidth="1"/>
    <col min="13836" max="13836" width="12.44140625" style="74" customWidth="1"/>
    <col min="13837" max="13837" width="0" style="74" hidden="1" customWidth="1"/>
    <col min="13838" max="13838" width="12.44140625" style="74" customWidth="1"/>
    <col min="13839" max="13839" width="9.44140625" style="74" customWidth="1"/>
    <col min="13840" max="13840" width="10" style="74" customWidth="1"/>
    <col min="13841" max="13841" width="12.44140625" style="74" customWidth="1"/>
    <col min="13842" max="13842" width="14.33203125" style="74" customWidth="1"/>
    <col min="13843" max="13849" width="0" style="74" hidden="1" customWidth="1"/>
    <col min="13850" max="14079" width="7.88671875" style="74" customWidth="1"/>
    <col min="14080" max="14080" width="3.33203125" style="74"/>
    <col min="14081" max="14081" width="0" style="74" hidden="1" customWidth="1"/>
    <col min="14082" max="14082" width="11.44140625" style="74" customWidth="1"/>
    <col min="14083" max="14083" width="10.44140625" style="74" customWidth="1"/>
    <col min="14084" max="14084" width="10.6640625" style="74" customWidth="1"/>
    <col min="14085" max="14085" width="52.88671875" style="74" customWidth="1"/>
    <col min="14086" max="14086" width="14.44140625" style="74" customWidth="1"/>
    <col min="14087" max="14087" width="15.44140625" style="74" customWidth="1"/>
    <col min="14088" max="14088" width="13.33203125" style="74" customWidth="1"/>
    <col min="14089" max="14089" width="10.88671875" style="74" customWidth="1"/>
    <col min="14090" max="14090" width="7.88671875" style="74" customWidth="1"/>
    <col min="14091" max="14091" width="13" style="74" customWidth="1"/>
    <col min="14092" max="14092" width="12.44140625" style="74" customWidth="1"/>
    <col min="14093" max="14093" width="0" style="74" hidden="1" customWidth="1"/>
    <col min="14094" max="14094" width="12.44140625" style="74" customWidth="1"/>
    <col min="14095" max="14095" width="9.44140625" style="74" customWidth="1"/>
    <col min="14096" max="14096" width="10" style="74" customWidth="1"/>
    <col min="14097" max="14097" width="12.44140625" style="74" customWidth="1"/>
    <col min="14098" max="14098" width="14.33203125" style="74" customWidth="1"/>
    <col min="14099" max="14105" width="0" style="74" hidden="1" customWidth="1"/>
    <col min="14106" max="14335" width="7.88671875" style="74" customWidth="1"/>
    <col min="14336" max="14336" width="3.33203125" style="74"/>
    <col min="14337" max="14337" width="0" style="74" hidden="1" customWidth="1"/>
    <col min="14338" max="14338" width="11.44140625" style="74" customWidth="1"/>
    <col min="14339" max="14339" width="10.44140625" style="74" customWidth="1"/>
    <col min="14340" max="14340" width="10.6640625" style="74" customWidth="1"/>
    <col min="14341" max="14341" width="52.88671875" style="74" customWidth="1"/>
    <col min="14342" max="14342" width="14.44140625" style="74" customWidth="1"/>
    <col min="14343" max="14343" width="15.44140625" style="74" customWidth="1"/>
    <col min="14344" max="14344" width="13.33203125" style="74" customWidth="1"/>
    <col min="14345" max="14345" width="10.88671875" style="74" customWidth="1"/>
    <col min="14346" max="14346" width="7.88671875" style="74" customWidth="1"/>
    <col min="14347" max="14347" width="13" style="74" customWidth="1"/>
    <col min="14348" max="14348" width="12.44140625" style="74" customWidth="1"/>
    <col min="14349" max="14349" width="0" style="74" hidden="1" customWidth="1"/>
    <col min="14350" max="14350" width="12.44140625" style="74" customWidth="1"/>
    <col min="14351" max="14351" width="9.44140625" style="74" customWidth="1"/>
    <col min="14352" max="14352" width="10" style="74" customWidth="1"/>
    <col min="14353" max="14353" width="12.44140625" style="74" customWidth="1"/>
    <col min="14354" max="14354" width="14.33203125" style="74" customWidth="1"/>
    <col min="14355" max="14361" width="0" style="74" hidden="1" customWidth="1"/>
    <col min="14362" max="14591" width="7.88671875" style="74" customWidth="1"/>
    <col min="14592" max="14592" width="3.33203125" style="74"/>
    <col min="14593" max="14593" width="0" style="74" hidden="1" customWidth="1"/>
    <col min="14594" max="14594" width="11.44140625" style="74" customWidth="1"/>
    <col min="14595" max="14595" width="10.44140625" style="74" customWidth="1"/>
    <col min="14596" max="14596" width="10.6640625" style="74" customWidth="1"/>
    <col min="14597" max="14597" width="52.88671875" style="74" customWidth="1"/>
    <col min="14598" max="14598" width="14.44140625" style="74" customWidth="1"/>
    <col min="14599" max="14599" width="15.44140625" style="74" customWidth="1"/>
    <col min="14600" max="14600" width="13.33203125" style="74" customWidth="1"/>
    <col min="14601" max="14601" width="10.88671875" style="74" customWidth="1"/>
    <col min="14602" max="14602" width="7.88671875" style="74" customWidth="1"/>
    <col min="14603" max="14603" width="13" style="74" customWidth="1"/>
    <col min="14604" max="14604" width="12.44140625" style="74" customWidth="1"/>
    <col min="14605" max="14605" width="0" style="74" hidden="1" customWidth="1"/>
    <col min="14606" max="14606" width="12.44140625" style="74" customWidth="1"/>
    <col min="14607" max="14607" width="9.44140625" style="74" customWidth="1"/>
    <col min="14608" max="14608" width="10" style="74" customWidth="1"/>
    <col min="14609" max="14609" width="12.44140625" style="74" customWidth="1"/>
    <col min="14610" max="14610" width="14.33203125" style="74" customWidth="1"/>
    <col min="14611" max="14617" width="0" style="74" hidden="1" customWidth="1"/>
    <col min="14618" max="14847" width="7.88671875" style="74" customWidth="1"/>
    <col min="14848" max="14848" width="3.33203125" style="74"/>
    <col min="14849" max="14849" width="0" style="74" hidden="1" customWidth="1"/>
    <col min="14850" max="14850" width="11.44140625" style="74" customWidth="1"/>
    <col min="14851" max="14851" width="10.44140625" style="74" customWidth="1"/>
    <col min="14852" max="14852" width="10.6640625" style="74" customWidth="1"/>
    <col min="14853" max="14853" width="52.88671875" style="74" customWidth="1"/>
    <col min="14854" max="14854" width="14.44140625" style="74" customWidth="1"/>
    <col min="14855" max="14855" width="15.44140625" style="74" customWidth="1"/>
    <col min="14856" max="14856" width="13.33203125" style="74" customWidth="1"/>
    <col min="14857" max="14857" width="10.88671875" style="74" customWidth="1"/>
    <col min="14858" max="14858" width="7.88671875" style="74" customWidth="1"/>
    <col min="14859" max="14859" width="13" style="74" customWidth="1"/>
    <col min="14860" max="14860" width="12.44140625" style="74" customWidth="1"/>
    <col min="14861" max="14861" width="0" style="74" hidden="1" customWidth="1"/>
    <col min="14862" max="14862" width="12.44140625" style="74" customWidth="1"/>
    <col min="14863" max="14863" width="9.44140625" style="74" customWidth="1"/>
    <col min="14864" max="14864" width="10" style="74" customWidth="1"/>
    <col min="14865" max="14865" width="12.44140625" style="74" customWidth="1"/>
    <col min="14866" max="14866" width="14.33203125" style="74" customWidth="1"/>
    <col min="14867" max="14873" width="0" style="74" hidden="1" customWidth="1"/>
    <col min="14874" max="15103" width="7.88671875" style="74" customWidth="1"/>
    <col min="15104" max="15104" width="3.33203125" style="74"/>
    <col min="15105" max="15105" width="0" style="74" hidden="1" customWidth="1"/>
    <col min="15106" max="15106" width="11.44140625" style="74" customWidth="1"/>
    <col min="15107" max="15107" width="10.44140625" style="74" customWidth="1"/>
    <col min="15108" max="15108" width="10.6640625" style="74" customWidth="1"/>
    <col min="15109" max="15109" width="52.88671875" style="74" customWidth="1"/>
    <col min="15110" max="15110" width="14.44140625" style="74" customWidth="1"/>
    <col min="15111" max="15111" width="15.44140625" style="74" customWidth="1"/>
    <col min="15112" max="15112" width="13.33203125" style="74" customWidth="1"/>
    <col min="15113" max="15113" width="10.88671875" style="74" customWidth="1"/>
    <col min="15114" max="15114" width="7.88671875" style="74" customWidth="1"/>
    <col min="15115" max="15115" width="13" style="74" customWidth="1"/>
    <col min="15116" max="15116" width="12.44140625" style="74" customWidth="1"/>
    <col min="15117" max="15117" width="0" style="74" hidden="1" customWidth="1"/>
    <col min="15118" max="15118" width="12.44140625" style="74" customWidth="1"/>
    <col min="15119" max="15119" width="9.44140625" style="74" customWidth="1"/>
    <col min="15120" max="15120" width="10" style="74" customWidth="1"/>
    <col min="15121" max="15121" width="12.44140625" style="74" customWidth="1"/>
    <col min="15122" max="15122" width="14.33203125" style="74" customWidth="1"/>
    <col min="15123" max="15129" width="0" style="74" hidden="1" customWidth="1"/>
    <col min="15130" max="15359" width="7.88671875" style="74" customWidth="1"/>
    <col min="15360" max="15360" width="3.33203125" style="74"/>
    <col min="15361" max="15361" width="0" style="74" hidden="1" customWidth="1"/>
    <col min="15362" max="15362" width="11.44140625" style="74" customWidth="1"/>
    <col min="15363" max="15363" width="10.44140625" style="74" customWidth="1"/>
    <col min="15364" max="15364" width="10.6640625" style="74" customWidth="1"/>
    <col min="15365" max="15365" width="52.88671875" style="74" customWidth="1"/>
    <col min="15366" max="15366" width="14.44140625" style="74" customWidth="1"/>
    <col min="15367" max="15367" width="15.44140625" style="74" customWidth="1"/>
    <col min="15368" max="15368" width="13.33203125" style="74" customWidth="1"/>
    <col min="15369" max="15369" width="10.88671875" style="74" customWidth="1"/>
    <col min="15370" max="15370" width="7.88671875" style="74" customWidth="1"/>
    <col min="15371" max="15371" width="13" style="74" customWidth="1"/>
    <col min="15372" max="15372" width="12.44140625" style="74" customWidth="1"/>
    <col min="15373" max="15373" width="0" style="74" hidden="1" customWidth="1"/>
    <col min="15374" max="15374" width="12.44140625" style="74" customWidth="1"/>
    <col min="15375" max="15375" width="9.44140625" style="74" customWidth="1"/>
    <col min="15376" max="15376" width="10" style="74" customWidth="1"/>
    <col min="15377" max="15377" width="12.44140625" style="74" customWidth="1"/>
    <col min="15378" max="15378" width="14.33203125" style="74" customWidth="1"/>
    <col min="15379" max="15385" width="0" style="74" hidden="1" customWidth="1"/>
    <col min="15386" max="15615" width="7.88671875" style="74" customWidth="1"/>
    <col min="15616" max="15616" width="3.33203125" style="74"/>
    <col min="15617" max="15617" width="0" style="74" hidden="1" customWidth="1"/>
    <col min="15618" max="15618" width="11.44140625" style="74" customWidth="1"/>
    <col min="15619" max="15619" width="10.44140625" style="74" customWidth="1"/>
    <col min="15620" max="15620" width="10.6640625" style="74" customWidth="1"/>
    <col min="15621" max="15621" width="52.88671875" style="74" customWidth="1"/>
    <col min="15622" max="15622" width="14.44140625" style="74" customWidth="1"/>
    <col min="15623" max="15623" width="15.44140625" style="74" customWidth="1"/>
    <col min="15624" max="15624" width="13.33203125" style="74" customWidth="1"/>
    <col min="15625" max="15625" width="10.88671875" style="74" customWidth="1"/>
    <col min="15626" max="15626" width="7.88671875" style="74" customWidth="1"/>
    <col min="15627" max="15627" width="13" style="74" customWidth="1"/>
    <col min="15628" max="15628" width="12.44140625" style="74" customWidth="1"/>
    <col min="15629" max="15629" width="0" style="74" hidden="1" customWidth="1"/>
    <col min="15630" max="15630" width="12.44140625" style="74" customWidth="1"/>
    <col min="15631" max="15631" width="9.44140625" style="74" customWidth="1"/>
    <col min="15632" max="15632" width="10" style="74" customWidth="1"/>
    <col min="15633" max="15633" width="12.44140625" style="74" customWidth="1"/>
    <col min="15634" max="15634" width="14.33203125" style="74" customWidth="1"/>
    <col min="15635" max="15641" width="0" style="74" hidden="1" customWidth="1"/>
    <col min="15642" max="15871" width="7.88671875" style="74" customWidth="1"/>
    <col min="15872" max="15872" width="3.33203125" style="74"/>
    <col min="15873" max="15873" width="0" style="74" hidden="1" customWidth="1"/>
    <col min="15874" max="15874" width="11.44140625" style="74" customWidth="1"/>
    <col min="15875" max="15875" width="10.44140625" style="74" customWidth="1"/>
    <col min="15876" max="15876" width="10.6640625" style="74" customWidth="1"/>
    <col min="15877" max="15877" width="52.88671875" style="74" customWidth="1"/>
    <col min="15878" max="15878" width="14.44140625" style="74" customWidth="1"/>
    <col min="15879" max="15879" width="15.44140625" style="74" customWidth="1"/>
    <col min="15880" max="15880" width="13.33203125" style="74" customWidth="1"/>
    <col min="15881" max="15881" width="10.88671875" style="74" customWidth="1"/>
    <col min="15882" max="15882" width="7.88671875" style="74" customWidth="1"/>
    <col min="15883" max="15883" width="13" style="74" customWidth="1"/>
    <col min="15884" max="15884" width="12.44140625" style="74" customWidth="1"/>
    <col min="15885" max="15885" width="0" style="74" hidden="1" customWidth="1"/>
    <col min="15886" max="15886" width="12.44140625" style="74" customWidth="1"/>
    <col min="15887" max="15887" width="9.44140625" style="74" customWidth="1"/>
    <col min="15888" max="15888" width="10" style="74" customWidth="1"/>
    <col min="15889" max="15889" width="12.44140625" style="74" customWidth="1"/>
    <col min="15890" max="15890" width="14.33203125" style="74" customWidth="1"/>
    <col min="15891" max="15897" width="0" style="74" hidden="1" customWidth="1"/>
    <col min="15898" max="16127" width="7.88671875" style="74" customWidth="1"/>
    <col min="16128" max="16128" width="3.33203125" style="74"/>
    <col min="16129" max="16129" width="0" style="74" hidden="1" customWidth="1"/>
    <col min="16130" max="16130" width="11.44140625" style="74" customWidth="1"/>
    <col min="16131" max="16131" width="10.44140625" style="74" customWidth="1"/>
    <col min="16132" max="16132" width="10.6640625" style="74" customWidth="1"/>
    <col min="16133" max="16133" width="52.88671875" style="74" customWidth="1"/>
    <col min="16134" max="16134" width="14.44140625" style="74" customWidth="1"/>
    <col min="16135" max="16135" width="15.44140625" style="74" customWidth="1"/>
    <col min="16136" max="16136" width="13.33203125" style="74" customWidth="1"/>
    <col min="16137" max="16137" width="10.88671875" style="74" customWidth="1"/>
    <col min="16138" max="16138" width="7.88671875" style="74" customWidth="1"/>
    <col min="16139" max="16139" width="13" style="74" customWidth="1"/>
    <col min="16140" max="16140" width="12.44140625" style="74" customWidth="1"/>
    <col min="16141" max="16141" width="0" style="74" hidden="1" customWidth="1"/>
    <col min="16142" max="16142" width="12.44140625" style="74" customWidth="1"/>
    <col min="16143" max="16143" width="9.44140625" style="74" customWidth="1"/>
    <col min="16144" max="16144" width="10" style="74" customWidth="1"/>
    <col min="16145" max="16145" width="12.44140625" style="74" customWidth="1"/>
    <col min="16146" max="16146" width="14.33203125" style="74" customWidth="1"/>
    <col min="16147" max="16153" width="0" style="74" hidden="1" customWidth="1"/>
    <col min="16154" max="16383" width="7.88671875" style="74" customWidth="1"/>
    <col min="16384" max="16384" width="3.33203125" style="74"/>
  </cols>
  <sheetData>
    <row r="1" spans="1:19" ht="15.6" x14ac:dyDescent="0.3">
      <c r="B1" s="72"/>
      <c r="C1" s="72"/>
      <c r="D1" s="72"/>
      <c r="E1" s="72"/>
      <c r="F1" s="72"/>
      <c r="G1" s="72"/>
      <c r="H1" s="72"/>
      <c r="I1" s="72"/>
      <c r="J1" s="72"/>
      <c r="K1" s="179"/>
      <c r="L1" s="5" t="s">
        <v>425</v>
      </c>
      <c r="M1" s="179"/>
      <c r="N1" s="5"/>
      <c r="O1" s="5"/>
      <c r="P1" s="5"/>
      <c r="Q1" s="179"/>
      <c r="R1" s="180"/>
      <c r="S1" s="73"/>
    </row>
    <row r="2" spans="1:19" ht="15.6" x14ac:dyDescent="0.3">
      <c r="B2" s="72"/>
      <c r="C2" s="72"/>
      <c r="D2" s="72"/>
      <c r="E2" s="72"/>
      <c r="F2" s="72"/>
      <c r="G2" s="72"/>
      <c r="H2" s="72"/>
      <c r="I2" s="72"/>
      <c r="J2" s="72"/>
      <c r="K2" s="179"/>
      <c r="L2" s="154" t="s">
        <v>612</v>
      </c>
      <c r="M2" s="179"/>
      <c r="N2" s="154"/>
      <c r="O2" s="5"/>
      <c r="P2" s="5"/>
      <c r="Q2" s="179"/>
      <c r="R2" s="180"/>
      <c r="S2" s="73"/>
    </row>
    <row r="3" spans="1:19" ht="15.6" x14ac:dyDescent="0.3">
      <c r="B3" s="72"/>
      <c r="C3" s="72"/>
      <c r="D3" s="72"/>
      <c r="E3" s="72"/>
      <c r="F3" s="72"/>
      <c r="G3" s="72"/>
      <c r="H3" s="72"/>
      <c r="I3" s="72"/>
      <c r="J3" s="72"/>
      <c r="K3" s="179"/>
      <c r="L3" s="193" t="s">
        <v>1106</v>
      </c>
      <c r="M3" s="193"/>
      <c r="N3" s="193"/>
      <c r="O3" s="193"/>
      <c r="P3" s="154"/>
      <c r="Q3" s="154"/>
      <c r="R3" s="180"/>
      <c r="S3" s="73"/>
    </row>
    <row r="4" spans="1:19" ht="15.6" x14ac:dyDescent="0.3">
      <c r="B4" s="72"/>
      <c r="C4" s="72"/>
      <c r="D4" s="72"/>
      <c r="E4" s="72"/>
      <c r="F4" s="72"/>
      <c r="G4" s="72"/>
      <c r="H4" s="72"/>
      <c r="I4" s="72"/>
      <c r="J4" s="72"/>
      <c r="K4" s="179"/>
      <c r="L4" s="193" t="s">
        <v>1422</v>
      </c>
      <c r="M4" s="1016"/>
      <c r="N4" s="1016"/>
      <c r="O4" s="1016"/>
      <c r="P4" s="154"/>
      <c r="Q4" s="154"/>
      <c r="R4" s="180"/>
      <c r="S4" s="73"/>
    </row>
    <row r="5" spans="1:19" ht="40.5" customHeight="1" x14ac:dyDescent="0.25">
      <c r="B5" s="1322" t="s">
        <v>1084</v>
      </c>
      <c r="C5" s="1322"/>
      <c r="D5" s="1322"/>
      <c r="E5" s="1322"/>
      <c r="F5" s="1322"/>
      <c r="G5" s="1322"/>
      <c r="H5" s="1322"/>
      <c r="I5" s="1322"/>
      <c r="J5" s="1322"/>
      <c r="K5" s="1322"/>
      <c r="L5" s="1322"/>
      <c r="M5" s="1322"/>
      <c r="N5" s="1322"/>
      <c r="O5" s="1322"/>
      <c r="P5" s="1322"/>
      <c r="Q5" s="1322"/>
      <c r="R5" s="1322"/>
      <c r="S5" s="73"/>
    </row>
    <row r="6" spans="1:19" ht="19.5" customHeight="1" thickBot="1" x14ac:dyDescent="0.35">
      <c r="B6" s="794"/>
      <c r="C6" s="75"/>
      <c r="D6" s="794"/>
      <c r="E6" s="75" t="s">
        <v>252</v>
      </c>
      <c r="F6" s="794"/>
      <c r="G6" s="794"/>
      <c r="H6" s="794"/>
      <c r="I6" s="794"/>
      <c r="J6" s="794"/>
      <c r="K6" s="181"/>
      <c r="L6" s="181"/>
      <c r="M6" s="181"/>
      <c r="N6" s="181"/>
      <c r="O6" s="181"/>
      <c r="P6" s="181"/>
      <c r="Q6" s="181"/>
      <c r="R6" s="182" t="s">
        <v>624</v>
      </c>
      <c r="S6" s="73"/>
    </row>
    <row r="7" spans="1:19" s="77" customFormat="1" ht="21.75" customHeight="1" x14ac:dyDescent="0.25">
      <c r="A7" s="76"/>
      <c r="B7" s="1323" t="s">
        <v>625</v>
      </c>
      <c r="C7" s="1325" t="s">
        <v>626</v>
      </c>
      <c r="D7" s="1327" t="s">
        <v>249</v>
      </c>
      <c r="E7" s="1329" t="s">
        <v>627</v>
      </c>
      <c r="F7" s="1331" t="s">
        <v>245</v>
      </c>
      <c r="G7" s="1331"/>
      <c r="H7" s="1331"/>
      <c r="I7" s="1331"/>
      <c r="J7" s="1331"/>
      <c r="K7" s="1332" t="s">
        <v>244</v>
      </c>
      <c r="L7" s="1332"/>
      <c r="M7" s="1332"/>
      <c r="N7" s="1332"/>
      <c r="O7" s="1332"/>
      <c r="P7" s="1332"/>
      <c r="Q7" s="1332"/>
      <c r="R7" s="1333" t="s">
        <v>426</v>
      </c>
    </row>
    <row r="8" spans="1:19" s="77" customFormat="1" ht="16.5" customHeight="1" x14ac:dyDescent="0.25">
      <c r="A8" s="78"/>
      <c r="B8" s="1324"/>
      <c r="C8" s="1326"/>
      <c r="D8" s="1328"/>
      <c r="E8" s="1330"/>
      <c r="F8" s="1335" t="s">
        <v>246</v>
      </c>
      <c r="G8" s="1339" t="s">
        <v>427</v>
      </c>
      <c r="H8" s="1335" t="s">
        <v>428</v>
      </c>
      <c r="I8" s="1335"/>
      <c r="J8" s="1339" t="s">
        <v>0</v>
      </c>
      <c r="K8" s="1341" t="s">
        <v>246</v>
      </c>
      <c r="L8" s="1227"/>
      <c r="M8" s="1338" t="s">
        <v>429</v>
      </c>
      <c r="N8" s="1228"/>
      <c r="O8" s="1344" t="s">
        <v>428</v>
      </c>
      <c r="P8" s="1345"/>
      <c r="Q8" s="1337" t="s">
        <v>0</v>
      </c>
      <c r="R8" s="1334"/>
    </row>
    <row r="9" spans="1:19" s="77" customFormat="1" ht="48.6" customHeight="1" thickBot="1" x14ac:dyDescent="0.3">
      <c r="A9" s="79"/>
      <c r="B9" s="1324"/>
      <c r="C9" s="1326"/>
      <c r="D9" s="1328"/>
      <c r="E9" s="1330"/>
      <c r="F9" s="1336"/>
      <c r="G9" s="1340"/>
      <c r="H9" s="1226" t="s">
        <v>430</v>
      </c>
      <c r="I9" s="1226" t="s">
        <v>431</v>
      </c>
      <c r="J9" s="1340"/>
      <c r="K9" s="1342"/>
      <c r="L9" s="183" t="s">
        <v>242</v>
      </c>
      <c r="M9" s="1343"/>
      <c r="N9" s="183" t="s">
        <v>427</v>
      </c>
      <c r="O9" s="1228" t="s">
        <v>430</v>
      </c>
      <c r="P9" s="1228" t="s">
        <v>431</v>
      </c>
      <c r="Q9" s="1338"/>
      <c r="R9" s="1334"/>
    </row>
    <row r="10" spans="1:19" s="86" customFormat="1" ht="21" customHeight="1" thickBot="1" x14ac:dyDescent="0.35">
      <c r="A10" s="80"/>
      <c r="B10" s="81" t="s">
        <v>432</v>
      </c>
      <c r="C10" s="82" t="s">
        <v>433</v>
      </c>
      <c r="D10" s="83" t="s">
        <v>434</v>
      </c>
      <c r="E10" s="84">
        <v>4</v>
      </c>
      <c r="F10" s="85">
        <v>5</v>
      </c>
      <c r="G10" s="85">
        <v>6</v>
      </c>
      <c r="H10" s="85">
        <v>7</v>
      </c>
      <c r="I10" s="85">
        <v>8</v>
      </c>
      <c r="J10" s="85">
        <v>9</v>
      </c>
      <c r="K10" s="184">
        <v>10</v>
      </c>
      <c r="L10" s="184">
        <v>11</v>
      </c>
      <c r="M10" s="184">
        <v>12</v>
      </c>
      <c r="N10" s="184">
        <v>12</v>
      </c>
      <c r="O10" s="184">
        <v>13</v>
      </c>
      <c r="P10" s="184">
        <v>14</v>
      </c>
      <c r="Q10" s="184">
        <v>15</v>
      </c>
      <c r="R10" s="185">
        <v>16</v>
      </c>
    </row>
    <row r="11" spans="1:19" s="86" customFormat="1" ht="19.5" customHeight="1" x14ac:dyDescent="0.3">
      <c r="A11" s="80"/>
      <c r="B11" s="284" t="s">
        <v>435</v>
      </c>
      <c r="C11" s="285"/>
      <c r="D11" s="464"/>
      <c r="E11" s="465" t="s">
        <v>436</v>
      </c>
      <c r="F11" s="811">
        <f>F12</f>
        <v>44322328</v>
      </c>
      <c r="G11" s="811">
        <f t="shared" ref="G11:R11" si="0">G12</f>
        <v>44270328</v>
      </c>
      <c r="H11" s="811">
        <f t="shared" si="0"/>
        <v>22092297</v>
      </c>
      <c r="I11" s="811">
        <f t="shared" si="0"/>
        <v>1876793</v>
      </c>
      <c r="J11" s="811">
        <f t="shared" si="0"/>
        <v>52000</v>
      </c>
      <c r="K11" s="1049">
        <f t="shared" si="0"/>
        <v>2493192.98</v>
      </c>
      <c r="L11" s="1049">
        <f t="shared" si="0"/>
        <v>2295210</v>
      </c>
      <c r="M11" s="1049">
        <f t="shared" si="0"/>
        <v>0</v>
      </c>
      <c r="N11" s="1049">
        <f t="shared" si="0"/>
        <v>197982.97999999998</v>
      </c>
      <c r="O11" s="1049">
        <f t="shared" si="0"/>
        <v>0</v>
      </c>
      <c r="P11" s="1049">
        <f t="shared" si="0"/>
        <v>0</v>
      </c>
      <c r="Q11" s="1049">
        <f t="shared" si="0"/>
        <v>2295210</v>
      </c>
      <c r="R11" s="1050">
        <f t="shared" si="0"/>
        <v>46815520.979999997</v>
      </c>
    </row>
    <row r="12" spans="1:19" s="77" customFormat="1" ht="16.5" customHeight="1" thickBot="1" x14ac:dyDescent="0.3">
      <c r="A12" s="90"/>
      <c r="B12" s="433" t="s">
        <v>437</v>
      </c>
      <c r="C12" s="434"/>
      <c r="D12" s="466"/>
      <c r="E12" s="467" t="s">
        <v>436</v>
      </c>
      <c r="F12" s="812">
        <f t="shared" ref="F12:R12" si="1">F16+F18+F19+F33+F34+F35+F36+F37+F38+F39+F40+F42+F43+F44+F45+F46+F47+F49+F53+F54+F56+F57+F58+F59+F60+F61+F62+F63+F66+F68+F71+F75+F76+F77+F78+F79+F80+F81+F74+F69+F70+F27+F32+F20+F22+F55+F83+F65+F72+F67</f>
        <v>44322328</v>
      </c>
      <c r="G12" s="812">
        <f t="shared" si="1"/>
        <v>44270328</v>
      </c>
      <c r="H12" s="812">
        <f t="shared" si="1"/>
        <v>22092297</v>
      </c>
      <c r="I12" s="812">
        <f t="shared" si="1"/>
        <v>1876793</v>
      </c>
      <c r="J12" s="812">
        <f t="shared" si="1"/>
        <v>52000</v>
      </c>
      <c r="K12" s="1051">
        <f t="shared" si="1"/>
        <v>2493192.98</v>
      </c>
      <c r="L12" s="1051">
        <f t="shared" si="1"/>
        <v>2295210</v>
      </c>
      <c r="M12" s="1051">
        <f t="shared" si="1"/>
        <v>0</v>
      </c>
      <c r="N12" s="1051">
        <f t="shared" si="1"/>
        <v>197982.97999999998</v>
      </c>
      <c r="O12" s="1051">
        <f t="shared" si="1"/>
        <v>0</v>
      </c>
      <c r="P12" s="1051">
        <f t="shared" si="1"/>
        <v>0</v>
      </c>
      <c r="Q12" s="1051">
        <f t="shared" si="1"/>
        <v>2295210</v>
      </c>
      <c r="R12" s="1052">
        <f t="shared" si="1"/>
        <v>46815520.979999997</v>
      </c>
    </row>
    <row r="13" spans="1:19" s="77" customFormat="1" ht="15.75" customHeight="1" x14ac:dyDescent="0.25">
      <c r="A13" s="90"/>
      <c r="B13" s="87"/>
      <c r="C13" s="88"/>
      <c r="D13" s="89"/>
      <c r="E13" s="463" t="s">
        <v>640</v>
      </c>
      <c r="F13" s="813">
        <f t="shared" ref="F13:F31" si="2">G13+J13</f>
        <v>0</v>
      </c>
      <c r="G13" s="814"/>
      <c r="H13" s="814"/>
      <c r="I13" s="814"/>
      <c r="J13" s="814"/>
      <c r="K13" s="1053">
        <f>N13+L13</f>
        <v>0</v>
      </c>
      <c r="L13" s="1053"/>
      <c r="M13" s="1053"/>
      <c r="N13" s="1053"/>
      <c r="O13" s="1053"/>
      <c r="P13" s="1053"/>
      <c r="Q13" s="1053"/>
      <c r="R13" s="1054">
        <f t="shared" ref="R13:R109" si="3">F13+K13</f>
        <v>0</v>
      </c>
    </row>
    <row r="14" spans="1:19" s="77" customFormat="1" ht="15.75" hidden="1" customHeight="1" x14ac:dyDescent="0.25">
      <c r="A14" s="90"/>
      <c r="B14" s="91"/>
      <c r="C14" s="92"/>
      <c r="D14" s="93"/>
      <c r="E14" s="94" t="s">
        <v>438</v>
      </c>
      <c r="F14" s="815">
        <f t="shared" si="2"/>
        <v>0</v>
      </c>
      <c r="G14" s="816">
        <f>G73</f>
        <v>0</v>
      </c>
      <c r="H14" s="816"/>
      <c r="I14" s="816"/>
      <c r="J14" s="816">
        <f t="shared" ref="J14:Q14" si="4">J82</f>
        <v>0</v>
      </c>
      <c r="K14" s="1055">
        <f t="shared" si="4"/>
        <v>0</v>
      </c>
      <c r="L14" s="1055">
        <f t="shared" si="4"/>
        <v>0</v>
      </c>
      <c r="M14" s="1055">
        <f t="shared" si="4"/>
        <v>0</v>
      </c>
      <c r="N14" s="1055">
        <f t="shared" si="4"/>
        <v>0</v>
      </c>
      <c r="O14" s="1055">
        <f t="shared" si="4"/>
        <v>0</v>
      </c>
      <c r="P14" s="1055">
        <f t="shared" si="4"/>
        <v>0</v>
      </c>
      <c r="Q14" s="1055">
        <f t="shared" si="4"/>
        <v>0</v>
      </c>
      <c r="R14" s="1027">
        <f t="shared" si="3"/>
        <v>0</v>
      </c>
    </row>
    <row r="15" spans="1:19" s="77" customFormat="1" ht="15.75" customHeight="1" x14ac:dyDescent="0.25">
      <c r="A15" s="90"/>
      <c r="B15" s="91"/>
      <c r="C15" s="92"/>
      <c r="D15" s="93"/>
      <c r="E15" s="94" t="s">
        <v>439</v>
      </c>
      <c r="F15" s="815">
        <f>G15+J15</f>
        <v>493543</v>
      </c>
      <c r="G15" s="816">
        <f>G17+G50</f>
        <v>493543</v>
      </c>
      <c r="H15" s="816">
        <f t="shared" ref="H15:R15" si="5">H17+H50</f>
        <v>346005</v>
      </c>
      <c r="I15" s="816">
        <f t="shared" si="5"/>
        <v>15356</v>
      </c>
      <c r="J15" s="816">
        <f t="shared" si="5"/>
        <v>0</v>
      </c>
      <c r="K15" s="1056">
        <f t="shared" si="5"/>
        <v>0</v>
      </c>
      <c r="L15" s="1056">
        <f t="shared" si="5"/>
        <v>0</v>
      </c>
      <c r="M15" s="1056">
        <f t="shared" si="5"/>
        <v>0</v>
      </c>
      <c r="N15" s="1056">
        <f t="shared" si="5"/>
        <v>0</v>
      </c>
      <c r="O15" s="1056">
        <f t="shared" si="5"/>
        <v>0</v>
      </c>
      <c r="P15" s="1056">
        <f t="shared" si="5"/>
        <v>0</v>
      </c>
      <c r="Q15" s="1056">
        <f t="shared" si="5"/>
        <v>0</v>
      </c>
      <c r="R15" s="1082">
        <f t="shared" si="5"/>
        <v>493543</v>
      </c>
    </row>
    <row r="16" spans="1:19" s="77" customFormat="1" ht="48" customHeight="1" x14ac:dyDescent="0.25">
      <c r="A16" s="90"/>
      <c r="B16" s="107" t="s">
        <v>440</v>
      </c>
      <c r="C16" s="95" t="s">
        <v>240</v>
      </c>
      <c r="D16" s="96" t="s">
        <v>43</v>
      </c>
      <c r="E16" s="94" t="s">
        <v>441</v>
      </c>
      <c r="F16" s="818">
        <f t="shared" si="2"/>
        <v>22784909</v>
      </c>
      <c r="G16" s="819">
        <f>19292389+2769400+544120+119000+60000</f>
        <v>22784909</v>
      </c>
      <c r="H16" s="820">
        <f>14500000+2270000+446000</f>
        <v>17216000</v>
      </c>
      <c r="I16" s="816">
        <f>6080+132784+297270</f>
        <v>436134</v>
      </c>
      <c r="J16" s="816"/>
      <c r="K16" s="1057">
        <f>N16+L16</f>
        <v>20000</v>
      </c>
      <c r="L16" s="1048">
        <v>20000</v>
      </c>
      <c r="M16" s="1048"/>
      <c r="N16" s="1048"/>
      <c r="O16" s="1048"/>
      <c r="P16" s="1048"/>
      <c r="Q16" s="1048">
        <v>20000</v>
      </c>
      <c r="R16" s="1027">
        <f t="shared" si="3"/>
        <v>22804909</v>
      </c>
    </row>
    <row r="17" spans="1:18" s="77" customFormat="1" ht="18" customHeight="1" x14ac:dyDescent="0.25">
      <c r="A17" s="90"/>
      <c r="B17" s="107"/>
      <c r="C17" s="95"/>
      <c r="D17" s="96"/>
      <c r="E17" s="94" t="s">
        <v>442</v>
      </c>
      <c r="F17" s="815">
        <f t="shared" si="2"/>
        <v>164543</v>
      </c>
      <c r="G17" s="820">
        <v>164543</v>
      </c>
      <c r="H17" s="816">
        <v>89695</v>
      </c>
      <c r="I17" s="816">
        <v>15356</v>
      </c>
      <c r="J17" s="816"/>
      <c r="K17" s="1058"/>
      <c r="L17" s="1059"/>
      <c r="M17" s="1059"/>
      <c r="N17" s="1059"/>
      <c r="O17" s="1059"/>
      <c r="P17" s="1059"/>
      <c r="Q17" s="1059"/>
      <c r="R17" s="1027">
        <f t="shared" si="3"/>
        <v>164543</v>
      </c>
    </row>
    <row r="18" spans="1:18" s="77" customFormat="1" ht="32.25" customHeight="1" x14ac:dyDescent="0.25">
      <c r="A18" s="90"/>
      <c r="B18" s="107" t="s">
        <v>679</v>
      </c>
      <c r="C18" s="118" t="s">
        <v>44</v>
      </c>
      <c r="D18" s="119" t="s">
        <v>43</v>
      </c>
      <c r="E18" s="120" t="s">
        <v>580</v>
      </c>
      <c r="F18" s="815">
        <f t="shared" si="2"/>
        <v>884698</v>
      </c>
      <c r="G18" s="823">
        <v>884698</v>
      </c>
      <c r="H18" s="816">
        <v>686723</v>
      </c>
      <c r="I18" s="816">
        <f>360+5000+4090</f>
        <v>9450</v>
      </c>
      <c r="J18" s="816"/>
      <c r="K18" s="1058">
        <f>N18+L18</f>
        <v>0</v>
      </c>
      <c r="L18" s="1059"/>
      <c r="M18" s="1059"/>
      <c r="N18" s="1059"/>
      <c r="O18" s="1059"/>
      <c r="P18" s="1059"/>
      <c r="Q18" s="1059"/>
      <c r="R18" s="1027">
        <f t="shared" si="3"/>
        <v>884698</v>
      </c>
    </row>
    <row r="19" spans="1:18" s="77" customFormat="1" ht="15.6" x14ac:dyDescent="0.25">
      <c r="A19" s="90"/>
      <c r="B19" s="107" t="s">
        <v>443</v>
      </c>
      <c r="C19" s="95" t="s">
        <v>7</v>
      </c>
      <c r="D19" s="96" t="s">
        <v>236</v>
      </c>
      <c r="E19" s="94" t="s">
        <v>235</v>
      </c>
      <c r="F19" s="815">
        <f t="shared" si="2"/>
        <v>289932</v>
      </c>
      <c r="G19" s="820">
        <f>263400+200000-175868+2400</f>
        <v>289932</v>
      </c>
      <c r="H19" s="816"/>
      <c r="I19" s="816"/>
      <c r="J19" s="816"/>
      <c r="K19" s="1057">
        <f t="shared" ref="K19:K118" si="6">N19+L19</f>
        <v>131600</v>
      </c>
      <c r="L19" s="1048">
        <f>134000-2400</f>
        <v>131600</v>
      </c>
      <c r="M19" s="1048"/>
      <c r="N19" s="1048"/>
      <c r="O19" s="1048"/>
      <c r="P19" s="1048"/>
      <c r="Q19" s="1048">
        <f>134000-2400</f>
        <v>131600</v>
      </c>
      <c r="R19" s="1027">
        <f t="shared" si="3"/>
        <v>421532</v>
      </c>
    </row>
    <row r="20" spans="1:18" s="77" customFormat="1" ht="15.75" hidden="1" customHeight="1" x14ac:dyDescent="0.25">
      <c r="A20" s="90"/>
      <c r="B20" s="97"/>
      <c r="C20" s="98"/>
      <c r="D20" s="99"/>
      <c r="E20" s="100"/>
      <c r="F20" s="824"/>
      <c r="G20" s="822"/>
      <c r="H20" s="817"/>
      <c r="I20" s="817"/>
      <c r="J20" s="816"/>
      <c r="K20" s="1058"/>
      <c r="L20" s="1059"/>
      <c r="M20" s="1059"/>
      <c r="N20" s="1059"/>
      <c r="O20" s="1059"/>
      <c r="P20" s="1059"/>
      <c r="Q20" s="1059"/>
      <c r="R20" s="1027">
        <f t="shared" si="3"/>
        <v>0</v>
      </c>
    </row>
    <row r="21" spans="1:18" s="77" customFormat="1" ht="15.75" hidden="1" customHeight="1" x14ac:dyDescent="0.25">
      <c r="A21" s="90"/>
      <c r="B21" s="97"/>
      <c r="C21" s="98"/>
      <c r="D21" s="99"/>
      <c r="E21" s="100"/>
      <c r="F21" s="824"/>
      <c r="G21" s="822"/>
      <c r="H21" s="817"/>
      <c r="I21" s="817"/>
      <c r="J21" s="816"/>
      <c r="K21" s="1058"/>
      <c r="L21" s="1059"/>
      <c r="M21" s="1059"/>
      <c r="N21" s="1059"/>
      <c r="O21" s="1059"/>
      <c r="P21" s="1059"/>
      <c r="Q21" s="1059"/>
      <c r="R21" s="1027">
        <f t="shared" si="3"/>
        <v>0</v>
      </c>
    </row>
    <row r="22" spans="1:18" s="77" customFormat="1" ht="15.75" hidden="1" customHeight="1" x14ac:dyDescent="0.25">
      <c r="A22" s="90"/>
      <c r="B22" s="97"/>
      <c r="C22" s="98"/>
      <c r="D22" s="99"/>
      <c r="E22" s="100"/>
      <c r="F22" s="824"/>
      <c r="G22" s="822"/>
      <c r="H22" s="817"/>
      <c r="I22" s="817"/>
      <c r="J22" s="816"/>
      <c r="K22" s="1058"/>
      <c r="L22" s="1059"/>
      <c r="M22" s="1059"/>
      <c r="N22" s="1059"/>
      <c r="O22" s="1059"/>
      <c r="P22" s="1059"/>
      <c r="Q22" s="1059"/>
      <c r="R22" s="1027">
        <f t="shared" si="3"/>
        <v>0</v>
      </c>
    </row>
    <row r="23" spans="1:18" s="77" customFormat="1" ht="15.75" hidden="1" customHeight="1" x14ac:dyDescent="0.25">
      <c r="A23" s="90"/>
      <c r="B23" s="91"/>
      <c r="C23" s="95"/>
      <c r="D23" s="96"/>
      <c r="E23" s="100" t="s">
        <v>444</v>
      </c>
      <c r="F23" s="815"/>
      <c r="G23" s="820"/>
      <c r="H23" s="816"/>
      <c r="I23" s="816"/>
      <c r="J23" s="816"/>
      <c r="K23" s="1058"/>
      <c r="L23" s="1059"/>
      <c r="M23" s="1059"/>
      <c r="N23" s="1059"/>
      <c r="O23" s="1059"/>
      <c r="P23" s="1059"/>
      <c r="Q23" s="1059"/>
      <c r="R23" s="1027">
        <f t="shared" si="3"/>
        <v>0</v>
      </c>
    </row>
    <row r="24" spans="1:18" s="77" customFormat="1" ht="15.75" hidden="1" customHeight="1" x14ac:dyDescent="0.25">
      <c r="A24" s="90"/>
      <c r="B24" s="91"/>
      <c r="C24" s="95"/>
      <c r="D24" s="96"/>
      <c r="E24" s="100" t="s">
        <v>445</v>
      </c>
      <c r="F24" s="815">
        <f t="shared" si="2"/>
        <v>0</v>
      </c>
      <c r="G24" s="820"/>
      <c r="H24" s="816"/>
      <c r="I24" s="816"/>
      <c r="J24" s="816"/>
      <c r="K24" s="1058"/>
      <c r="L24" s="1059"/>
      <c r="M24" s="1059"/>
      <c r="N24" s="1059"/>
      <c r="O24" s="1059"/>
      <c r="P24" s="1059"/>
      <c r="Q24" s="1059"/>
      <c r="R24" s="1027">
        <f t="shared" si="3"/>
        <v>0</v>
      </c>
    </row>
    <row r="25" spans="1:18" s="77" customFormat="1" ht="31.5" hidden="1" customHeight="1" x14ac:dyDescent="0.25">
      <c r="A25" s="90"/>
      <c r="B25" s="91"/>
      <c r="C25" s="95"/>
      <c r="D25" s="96"/>
      <c r="E25" s="100" t="s">
        <v>446</v>
      </c>
      <c r="F25" s="815"/>
      <c r="G25" s="820"/>
      <c r="H25" s="816"/>
      <c r="I25" s="816"/>
      <c r="J25" s="816"/>
      <c r="K25" s="1058"/>
      <c r="L25" s="1059"/>
      <c r="M25" s="1059"/>
      <c r="N25" s="1059"/>
      <c r="O25" s="1059"/>
      <c r="P25" s="1059"/>
      <c r="Q25" s="1059"/>
      <c r="R25" s="1027">
        <f t="shared" si="3"/>
        <v>0</v>
      </c>
    </row>
    <row r="26" spans="1:18" s="77" customFormat="1" ht="15.75" hidden="1" customHeight="1" x14ac:dyDescent="0.25">
      <c r="A26" s="90"/>
      <c r="B26" s="91"/>
      <c r="C26" s="95"/>
      <c r="D26" s="96"/>
      <c r="E26" s="100" t="s">
        <v>105</v>
      </c>
      <c r="F26" s="815">
        <f t="shared" si="2"/>
        <v>0</v>
      </c>
      <c r="G26" s="820"/>
      <c r="H26" s="816"/>
      <c r="I26" s="816"/>
      <c r="J26" s="816"/>
      <c r="K26" s="1058"/>
      <c r="L26" s="1059"/>
      <c r="M26" s="1059"/>
      <c r="N26" s="1059"/>
      <c r="O26" s="1059"/>
      <c r="P26" s="1059"/>
      <c r="Q26" s="1059"/>
      <c r="R26" s="1027">
        <f t="shared" si="3"/>
        <v>0</v>
      </c>
    </row>
    <row r="27" spans="1:18" s="77" customFormat="1" ht="43.5" hidden="1" customHeight="1" x14ac:dyDescent="0.25">
      <c r="A27" s="71"/>
      <c r="B27" s="101" t="s">
        <v>447</v>
      </c>
      <c r="C27" s="719" t="s">
        <v>102</v>
      </c>
      <c r="D27" s="102" t="s">
        <v>101</v>
      </c>
      <c r="E27" s="103" t="s">
        <v>100</v>
      </c>
      <c r="F27" s="825">
        <f t="shared" si="2"/>
        <v>0</v>
      </c>
      <c r="G27" s="826"/>
      <c r="H27" s="816"/>
      <c r="I27" s="816"/>
      <c r="J27" s="816"/>
      <c r="K27" s="1058">
        <f t="shared" si="6"/>
        <v>0</v>
      </c>
      <c r="L27" s="1059"/>
      <c r="M27" s="1059"/>
      <c r="N27" s="1059"/>
      <c r="O27" s="1059"/>
      <c r="P27" s="1059"/>
      <c r="Q27" s="1059"/>
      <c r="R27" s="1027">
        <f t="shared" si="3"/>
        <v>0</v>
      </c>
    </row>
    <row r="28" spans="1:18" s="77" customFormat="1" ht="15.75" hidden="1" customHeight="1" x14ac:dyDescent="0.25">
      <c r="A28" s="71"/>
      <c r="B28" s="101"/>
      <c r="C28" s="719"/>
      <c r="D28" s="102"/>
      <c r="E28" s="103" t="s">
        <v>99</v>
      </c>
      <c r="F28" s="825"/>
      <c r="G28" s="826"/>
      <c r="H28" s="816"/>
      <c r="I28" s="816"/>
      <c r="J28" s="816"/>
      <c r="K28" s="1058"/>
      <c r="L28" s="1059"/>
      <c r="M28" s="1059"/>
      <c r="N28" s="1059"/>
      <c r="O28" s="1059"/>
      <c r="P28" s="1059"/>
      <c r="Q28" s="1059"/>
      <c r="R28" s="1027">
        <f t="shared" si="3"/>
        <v>0</v>
      </c>
    </row>
    <row r="29" spans="1:18" s="77" customFormat="1" ht="67.5" hidden="1" customHeight="1" x14ac:dyDescent="0.25">
      <c r="A29" s="71"/>
      <c r="B29" s="101"/>
      <c r="C29" s="719"/>
      <c r="D29" s="102"/>
      <c r="E29" s="103" t="s">
        <v>98</v>
      </c>
      <c r="F29" s="825">
        <f t="shared" si="2"/>
        <v>0</v>
      </c>
      <c r="G29" s="826"/>
      <c r="H29" s="816"/>
      <c r="I29" s="816"/>
      <c r="J29" s="816"/>
      <c r="K29" s="1058">
        <f t="shared" si="6"/>
        <v>0</v>
      </c>
      <c r="L29" s="1059"/>
      <c r="M29" s="1059"/>
      <c r="N29" s="1059"/>
      <c r="O29" s="1059"/>
      <c r="P29" s="1059"/>
      <c r="Q29" s="1059"/>
      <c r="R29" s="1027">
        <f t="shared" si="3"/>
        <v>0</v>
      </c>
    </row>
    <row r="30" spans="1:18" s="77" customFormat="1" ht="15.75" hidden="1" customHeight="1" x14ac:dyDescent="0.25">
      <c r="A30" s="71"/>
      <c r="B30" s="101"/>
      <c r="C30" s="719"/>
      <c r="D30" s="102"/>
      <c r="E30" s="103" t="s">
        <v>448</v>
      </c>
      <c r="F30" s="825">
        <f t="shared" si="2"/>
        <v>0</v>
      </c>
      <c r="G30" s="826"/>
      <c r="H30" s="816"/>
      <c r="I30" s="816"/>
      <c r="J30" s="816"/>
      <c r="K30" s="1058"/>
      <c r="L30" s="1059"/>
      <c r="M30" s="1059"/>
      <c r="N30" s="1059"/>
      <c r="O30" s="1059"/>
      <c r="P30" s="1059"/>
      <c r="Q30" s="1059"/>
      <c r="R30" s="1027">
        <f t="shared" si="3"/>
        <v>0</v>
      </c>
    </row>
    <row r="31" spans="1:18" s="77" customFormat="1" ht="67.5" hidden="1" customHeight="1" x14ac:dyDescent="0.25">
      <c r="A31" s="71"/>
      <c r="B31" s="101"/>
      <c r="C31" s="719"/>
      <c r="D31" s="102"/>
      <c r="E31" s="103"/>
      <c r="F31" s="825">
        <f t="shared" si="2"/>
        <v>0</v>
      </c>
      <c r="G31" s="826"/>
      <c r="H31" s="816"/>
      <c r="I31" s="816"/>
      <c r="J31" s="816"/>
      <c r="K31" s="1058"/>
      <c r="L31" s="1059"/>
      <c r="M31" s="1059"/>
      <c r="N31" s="1059"/>
      <c r="O31" s="1059"/>
      <c r="P31" s="1059"/>
      <c r="Q31" s="1059"/>
      <c r="R31" s="1027">
        <f t="shared" si="3"/>
        <v>0</v>
      </c>
    </row>
    <row r="32" spans="1:18" s="77" customFormat="1" ht="40.5" hidden="1" customHeight="1" x14ac:dyDescent="0.25">
      <c r="A32" s="71"/>
      <c r="B32" s="101" t="s">
        <v>234</v>
      </c>
      <c r="C32" s="719" t="s">
        <v>96</v>
      </c>
      <c r="D32" s="102" t="s">
        <v>95</v>
      </c>
      <c r="E32" s="103" t="s">
        <v>449</v>
      </c>
      <c r="F32" s="825">
        <f>G32+J32</f>
        <v>0</v>
      </c>
      <c r="G32" s="826"/>
      <c r="H32" s="816"/>
      <c r="I32" s="816"/>
      <c r="J32" s="816"/>
      <c r="K32" s="1058"/>
      <c r="L32" s="1059"/>
      <c r="M32" s="1059"/>
      <c r="N32" s="1059"/>
      <c r="O32" s="1059"/>
      <c r="P32" s="1059"/>
      <c r="Q32" s="1059"/>
      <c r="R32" s="1027">
        <f t="shared" si="3"/>
        <v>0</v>
      </c>
    </row>
    <row r="33" spans="1:18" s="77" customFormat="1" ht="47.25" hidden="1" customHeight="1" x14ac:dyDescent="0.25">
      <c r="A33" s="71"/>
      <c r="B33" s="104" t="s">
        <v>233</v>
      </c>
      <c r="C33" s="719" t="s">
        <v>91</v>
      </c>
      <c r="D33" s="102" t="s">
        <v>90</v>
      </c>
      <c r="E33" s="105" t="s">
        <v>450</v>
      </c>
      <c r="F33" s="825">
        <f t="shared" ref="F33:F86" si="7">G33+J33</f>
        <v>0</v>
      </c>
      <c r="G33" s="826"/>
      <c r="H33" s="826"/>
      <c r="I33" s="816"/>
      <c r="J33" s="818"/>
      <c r="K33" s="1057">
        <f t="shared" si="6"/>
        <v>0</v>
      </c>
      <c r="L33" s="1057"/>
      <c r="M33" s="1057"/>
      <c r="N33" s="1048"/>
      <c r="O33" s="1057"/>
      <c r="P33" s="1057"/>
      <c r="Q33" s="1057"/>
      <c r="R33" s="1027">
        <f t="shared" si="3"/>
        <v>0</v>
      </c>
    </row>
    <row r="34" spans="1:18" s="77" customFormat="1" ht="18" customHeight="1" x14ac:dyDescent="0.25">
      <c r="A34" s="71"/>
      <c r="B34" s="104" t="s">
        <v>451</v>
      </c>
      <c r="C34" s="719" t="s">
        <v>232</v>
      </c>
      <c r="D34" s="102" t="s">
        <v>85</v>
      </c>
      <c r="E34" s="1171" t="s">
        <v>231</v>
      </c>
      <c r="F34" s="825">
        <f t="shared" si="7"/>
        <v>38000</v>
      </c>
      <c r="G34" s="826">
        <v>38000</v>
      </c>
      <c r="H34" s="816"/>
      <c r="I34" s="816"/>
      <c r="J34" s="816"/>
      <c r="K34" s="1058">
        <f t="shared" si="6"/>
        <v>0</v>
      </c>
      <c r="L34" s="1059"/>
      <c r="M34" s="1059"/>
      <c r="N34" s="1059"/>
      <c r="O34" s="1059"/>
      <c r="P34" s="1059"/>
      <c r="Q34" s="1059"/>
      <c r="R34" s="1027">
        <f t="shared" si="3"/>
        <v>38000</v>
      </c>
    </row>
    <row r="35" spans="1:18" s="77" customFormat="1" ht="15.75" hidden="1" customHeight="1" x14ac:dyDescent="0.25">
      <c r="A35" s="71"/>
      <c r="B35" s="104"/>
      <c r="C35" s="719"/>
      <c r="D35" s="102"/>
      <c r="E35" s="1176"/>
      <c r="F35" s="825">
        <f t="shared" si="7"/>
        <v>0</v>
      </c>
      <c r="G35" s="827"/>
      <c r="H35" s="818"/>
      <c r="I35" s="818"/>
      <c r="J35" s="818"/>
      <c r="K35" s="1058">
        <f t="shared" si="6"/>
        <v>0</v>
      </c>
      <c r="L35" s="1058"/>
      <c r="M35" s="1058"/>
      <c r="N35" s="1058"/>
      <c r="O35" s="1058"/>
      <c r="P35" s="1058"/>
      <c r="Q35" s="1058"/>
      <c r="R35" s="1027">
        <f t="shared" si="3"/>
        <v>0</v>
      </c>
    </row>
    <row r="36" spans="1:18" s="77" customFormat="1" ht="15.75" hidden="1" customHeight="1" x14ac:dyDescent="0.25">
      <c r="A36" s="71"/>
      <c r="B36" s="104" t="s">
        <v>452</v>
      </c>
      <c r="C36" s="719" t="s">
        <v>453</v>
      </c>
      <c r="D36" s="102" t="s">
        <v>85</v>
      </c>
      <c r="E36" s="1171" t="s">
        <v>454</v>
      </c>
      <c r="F36" s="825">
        <f t="shared" si="7"/>
        <v>0</v>
      </c>
      <c r="G36" s="826"/>
      <c r="H36" s="816"/>
      <c r="I36" s="816"/>
      <c r="J36" s="816"/>
      <c r="K36" s="1058">
        <f t="shared" si="6"/>
        <v>0</v>
      </c>
      <c r="L36" s="1059"/>
      <c r="M36" s="1059"/>
      <c r="N36" s="1059"/>
      <c r="O36" s="1059"/>
      <c r="P36" s="1059"/>
      <c r="Q36" s="1059"/>
      <c r="R36" s="1027">
        <f t="shared" si="3"/>
        <v>0</v>
      </c>
    </row>
    <row r="37" spans="1:18" s="77" customFormat="1" ht="31.2" x14ac:dyDescent="0.25">
      <c r="A37" s="71"/>
      <c r="B37" s="104" t="s">
        <v>455</v>
      </c>
      <c r="C37" s="719" t="s">
        <v>230</v>
      </c>
      <c r="D37" s="102" t="s">
        <v>85</v>
      </c>
      <c r="E37" s="1171" t="s">
        <v>1173</v>
      </c>
      <c r="F37" s="825">
        <f t="shared" si="7"/>
        <v>30000</v>
      </c>
      <c r="G37" s="826">
        <f>10000+20000</f>
        <v>30000</v>
      </c>
      <c r="H37" s="816"/>
      <c r="I37" s="816"/>
      <c r="J37" s="816"/>
      <c r="K37" s="1058"/>
      <c r="L37" s="1059"/>
      <c r="M37" s="1059"/>
      <c r="N37" s="1059"/>
      <c r="O37" s="1059"/>
      <c r="P37" s="1059"/>
      <c r="Q37" s="1059"/>
      <c r="R37" s="1027">
        <f t="shared" si="3"/>
        <v>30000</v>
      </c>
    </row>
    <row r="38" spans="1:18" s="77" customFormat="1" ht="63" hidden="1" customHeight="1" x14ac:dyDescent="0.25">
      <c r="A38" s="71"/>
      <c r="B38" s="104" t="s">
        <v>228</v>
      </c>
      <c r="C38" s="719" t="s">
        <v>86</v>
      </c>
      <c r="D38" s="102" t="s">
        <v>85</v>
      </c>
      <c r="E38" s="1171" t="s">
        <v>84</v>
      </c>
      <c r="F38" s="825">
        <f t="shared" si="7"/>
        <v>0</v>
      </c>
      <c r="G38" s="826"/>
      <c r="H38" s="816"/>
      <c r="I38" s="816"/>
      <c r="J38" s="816"/>
      <c r="K38" s="1058">
        <f t="shared" si="6"/>
        <v>0</v>
      </c>
      <c r="L38" s="1059"/>
      <c r="M38" s="1059"/>
      <c r="N38" s="1059"/>
      <c r="O38" s="1059"/>
      <c r="P38" s="1059"/>
      <c r="Q38" s="1059"/>
      <c r="R38" s="1027">
        <f t="shared" si="3"/>
        <v>0</v>
      </c>
    </row>
    <row r="39" spans="1:18" s="77" customFormat="1" ht="63" hidden="1" customHeight="1" x14ac:dyDescent="0.25">
      <c r="A39" s="71"/>
      <c r="B39" s="104" t="s">
        <v>227</v>
      </c>
      <c r="C39" s="719">
        <v>3160</v>
      </c>
      <c r="D39" s="102" t="s">
        <v>78</v>
      </c>
      <c r="E39" s="1177" t="s">
        <v>77</v>
      </c>
      <c r="F39" s="825">
        <f t="shared" si="7"/>
        <v>0</v>
      </c>
      <c r="G39" s="826"/>
      <c r="H39" s="816"/>
      <c r="I39" s="816"/>
      <c r="J39" s="816"/>
      <c r="K39" s="1058">
        <f t="shared" si="6"/>
        <v>0</v>
      </c>
      <c r="L39" s="1059"/>
      <c r="M39" s="1059"/>
      <c r="N39" s="1059"/>
      <c r="O39" s="1059"/>
      <c r="P39" s="1059"/>
      <c r="Q39" s="1059"/>
      <c r="R39" s="1027">
        <f t="shared" si="3"/>
        <v>0</v>
      </c>
    </row>
    <row r="40" spans="1:18" s="77" customFormat="1" ht="15.75" hidden="1" customHeight="1" x14ac:dyDescent="0.25">
      <c r="A40" s="71"/>
      <c r="B40" s="104" t="s">
        <v>226</v>
      </c>
      <c r="C40" s="719" t="s">
        <v>75</v>
      </c>
      <c r="D40" s="102" t="s">
        <v>74</v>
      </c>
      <c r="E40" s="1171" t="s">
        <v>73</v>
      </c>
      <c r="F40" s="825">
        <f t="shared" si="7"/>
        <v>0</v>
      </c>
      <c r="G40" s="826"/>
      <c r="H40" s="816"/>
      <c r="I40" s="816"/>
      <c r="J40" s="816"/>
      <c r="K40" s="1058">
        <f t="shared" si="6"/>
        <v>0</v>
      </c>
      <c r="L40" s="1059"/>
      <c r="M40" s="1059"/>
      <c r="N40" s="1059"/>
      <c r="O40" s="1059"/>
      <c r="P40" s="1059"/>
      <c r="Q40" s="1059"/>
      <c r="R40" s="1027">
        <f t="shared" si="3"/>
        <v>0</v>
      </c>
    </row>
    <row r="41" spans="1:18" s="77" customFormat="1" ht="47.25" hidden="1" customHeight="1" x14ac:dyDescent="0.25">
      <c r="A41" s="90"/>
      <c r="B41" s="107" t="s">
        <v>456</v>
      </c>
      <c r="C41" s="95">
        <v>3192</v>
      </c>
      <c r="D41" s="96">
        <v>1030</v>
      </c>
      <c r="E41" s="1170" t="s">
        <v>71</v>
      </c>
      <c r="F41" s="815">
        <f t="shared" si="7"/>
        <v>0</v>
      </c>
      <c r="G41" s="820"/>
      <c r="H41" s="816"/>
      <c r="I41" s="816"/>
      <c r="J41" s="816"/>
      <c r="K41" s="1058"/>
      <c r="L41" s="1059"/>
      <c r="M41" s="1059"/>
      <c r="N41" s="1059"/>
      <c r="O41" s="1059"/>
      <c r="P41" s="1059"/>
      <c r="Q41" s="1059"/>
      <c r="R41" s="1027">
        <f t="shared" si="3"/>
        <v>0</v>
      </c>
    </row>
    <row r="42" spans="1:18" s="77" customFormat="1" ht="15.6" x14ac:dyDescent="0.25">
      <c r="A42" s="90"/>
      <c r="B42" s="107" t="s">
        <v>457</v>
      </c>
      <c r="C42" s="95" t="s">
        <v>70</v>
      </c>
      <c r="D42" s="96" t="s">
        <v>69</v>
      </c>
      <c r="E42" s="1170" t="s">
        <v>68</v>
      </c>
      <c r="F42" s="815">
        <f t="shared" si="7"/>
        <v>650000</v>
      </c>
      <c r="G42" s="820">
        <v>650000</v>
      </c>
      <c r="H42" s="816">
        <v>532800</v>
      </c>
      <c r="I42" s="816"/>
      <c r="J42" s="816"/>
      <c r="K42" s="1058">
        <f t="shared" si="6"/>
        <v>0</v>
      </c>
      <c r="L42" s="1059"/>
      <c r="M42" s="1059"/>
      <c r="N42" s="1059"/>
      <c r="O42" s="1059"/>
      <c r="P42" s="1059"/>
      <c r="Q42" s="1059"/>
      <c r="R42" s="1027">
        <f t="shared" si="3"/>
        <v>650000</v>
      </c>
    </row>
    <row r="43" spans="1:18" s="77" customFormat="1" ht="39.75" hidden="1" customHeight="1" x14ac:dyDescent="0.25">
      <c r="A43" s="90"/>
      <c r="B43" s="107" t="s">
        <v>458</v>
      </c>
      <c r="C43" s="95" t="s">
        <v>459</v>
      </c>
      <c r="D43" s="96" t="s">
        <v>63</v>
      </c>
      <c r="E43" s="1170" t="s">
        <v>460</v>
      </c>
      <c r="F43" s="815">
        <f t="shared" si="7"/>
        <v>0</v>
      </c>
      <c r="G43" s="828"/>
      <c r="H43" s="829"/>
      <c r="I43" s="829"/>
      <c r="J43" s="816"/>
      <c r="K43" s="1058">
        <f t="shared" si="6"/>
        <v>0</v>
      </c>
      <c r="L43" s="1059"/>
      <c r="M43" s="1059"/>
      <c r="N43" s="1059"/>
      <c r="O43" s="1059"/>
      <c r="P43" s="1059"/>
      <c r="Q43" s="1059"/>
      <c r="R43" s="1027">
        <f t="shared" si="3"/>
        <v>0</v>
      </c>
    </row>
    <row r="44" spans="1:18" s="77" customFormat="1" ht="31.5" hidden="1" customHeight="1" x14ac:dyDescent="0.25">
      <c r="A44" s="90"/>
      <c r="B44" s="107" t="s">
        <v>225</v>
      </c>
      <c r="C44" s="95" t="s">
        <v>64</v>
      </c>
      <c r="D44" s="96" t="s">
        <v>63</v>
      </c>
      <c r="E44" s="1170" t="s">
        <v>62</v>
      </c>
      <c r="F44" s="815">
        <f t="shared" si="7"/>
        <v>0</v>
      </c>
      <c r="G44" s="820"/>
      <c r="H44" s="816"/>
      <c r="I44" s="816"/>
      <c r="J44" s="816"/>
      <c r="K44" s="1058">
        <f t="shared" si="6"/>
        <v>0</v>
      </c>
      <c r="L44" s="1059"/>
      <c r="M44" s="1059"/>
      <c r="N44" s="1059"/>
      <c r="O44" s="1059"/>
      <c r="P44" s="1059"/>
      <c r="Q44" s="1059"/>
      <c r="R44" s="1027">
        <f t="shared" si="3"/>
        <v>0</v>
      </c>
    </row>
    <row r="45" spans="1:18" s="77" customFormat="1" ht="15.75" hidden="1" customHeight="1" x14ac:dyDescent="0.25">
      <c r="A45" s="90"/>
      <c r="B45" s="91"/>
      <c r="C45" s="92"/>
      <c r="D45" s="93"/>
      <c r="E45" s="1178"/>
      <c r="F45" s="815">
        <f t="shared" si="7"/>
        <v>0</v>
      </c>
      <c r="G45" s="818"/>
      <c r="H45" s="816"/>
      <c r="I45" s="816"/>
      <c r="J45" s="816"/>
      <c r="K45" s="1058">
        <f t="shared" si="6"/>
        <v>0</v>
      </c>
      <c r="L45" s="1059"/>
      <c r="M45" s="1059"/>
      <c r="N45" s="1059"/>
      <c r="O45" s="1059"/>
      <c r="P45" s="1059"/>
      <c r="Q45" s="1059"/>
      <c r="R45" s="1027">
        <f t="shared" si="3"/>
        <v>0</v>
      </c>
    </row>
    <row r="46" spans="1:18" s="77" customFormat="1" ht="31.2" x14ac:dyDescent="0.25">
      <c r="A46" s="90"/>
      <c r="B46" s="107" t="s">
        <v>461</v>
      </c>
      <c r="C46" s="95" t="s">
        <v>224</v>
      </c>
      <c r="D46" s="96" t="s">
        <v>218</v>
      </c>
      <c r="E46" s="1170" t="s">
        <v>223</v>
      </c>
      <c r="F46" s="815">
        <f t="shared" si="7"/>
        <v>571000</v>
      </c>
      <c r="G46" s="820">
        <f>382921+168079+20000</f>
        <v>571000</v>
      </c>
      <c r="H46" s="816"/>
      <c r="I46" s="816"/>
      <c r="J46" s="816"/>
      <c r="K46" s="1058">
        <f t="shared" si="6"/>
        <v>0</v>
      </c>
      <c r="L46" s="1059"/>
      <c r="M46" s="1059"/>
      <c r="N46" s="1059"/>
      <c r="O46" s="1059"/>
      <c r="P46" s="1059"/>
      <c r="Q46" s="1059"/>
      <c r="R46" s="1027">
        <f t="shared" si="3"/>
        <v>571000</v>
      </c>
    </row>
    <row r="47" spans="1:18" s="77" customFormat="1" ht="15.75" hidden="1" customHeight="1" x14ac:dyDescent="0.25">
      <c r="A47" s="90"/>
      <c r="B47" s="91"/>
      <c r="C47" s="92"/>
      <c r="D47" s="93"/>
      <c r="E47" s="1178"/>
      <c r="F47" s="815"/>
      <c r="G47" s="818"/>
      <c r="H47" s="815"/>
      <c r="I47" s="815"/>
      <c r="J47" s="815"/>
      <c r="K47" s="1058">
        <f t="shared" si="6"/>
        <v>0</v>
      </c>
      <c r="L47" s="1058"/>
      <c r="M47" s="1058"/>
      <c r="N47" s="1058"/>
      <c r="O47" s="1058"/>
      <c r="P47" s="1058"/>
      <c r="Q47" s="1058"/>
      <c r="R47" s="1027">
        <f t="shared" si="3"/>
        <v>0</v>
      </c>
    </row>
    <row r="48" spans="1:18" s="77" customFormat="1" ht="39.75" hidden="1" customHeight="1" x14ac:dyDescent="0.25">
      <c r="A48" s="90"/>
      <c r="B48" s="107"/>
      <c r="C48" s="95"/>
      <c r="D48" s="96"/>
      <c r="E48" s="1170" t="s">
        <v>442</v>
      </c>
      <c r="F48" s="815"/>
      <c r="G48" s="820"/>
      <c r="H48" s="816"/>
      <c r="I48" s="816"/>
      <c r="J48" s="816"/>
      <c r="K48" s="1058">
        <f t="shared" si="6"/>
        <v>0</v>
      </c>
      <c r="L48" s="1059"/>
      <c r="M48" s="1059"/>
      <c r="N48" s="1059"/>
      <c r="O48" s="1059"/>
      <c r="P48" s="1059"/>
      <c r="Q48" s="1059"/>
      <c r="R48" s="1027">
        <f t="shared" si="3"/>
        <v>0</v>
      </c>
    </row>
    <row r="49" spans="1:18" s="77" customFormat="1" ht="31.2" x14ac:dyDescent="0.25">
      <c r="A49" s="90"/>
      <c r="B49" s="107" t="s">
        <v>462</v>
      </c>
      <c r="C49" s="95" t="s">
        <v>219</v>
      </c>
      <c r="D49" s="96" t="s">
        <v>218</v>
      </c>
      <c r="E49" s="1170" t="s">
        <v>1174</v>
      </c>
      <c r="F49" s="815">
        <f t="shared" si="7"/>
        <v>5259402</v>
      </c>
      <c r="G49" s="820">
        <f>4939226+320176</f>
        <v>5259402</v>
      </c>
      <c r="H49" s="816">
        <f>3413810+200964</f>
        <v>3614774</v>
      </c>
      <c r="I49" s="816">
        <f>1800+57000+331300</f>
        <v>390100</v>
      </c>
      <c r="J49" s="816"/>
      <c r="K49" s="1058">
        <f t="shared" si="6"/>
        <v>0</v>
      </c>
      <c r="L49" s="1059"/>
      <c r="M49" s="1059"/>
      <c r="N49" s="1059"/>
      <c r="O49" s="1059"/>
      <c r="P49" s="1059"/>
      <c r="Q49" s="1059"/>
      <c r="R49" s="1027">
        <f t="shared" si="3"/>
        <v>5259402</v>
      </c>
    </row>
    <row r="50" spans="1:18" s="77" customFormat="1" ht="21" customHeight="1" x14ac:dyDescent="0.25">
      <c r="A50" s="90"/>
      <c r="B50" s="108"/>
      <c r="C50" s="95"/>
      <c r="D50" s="96"/>
      <c r="E50" s="94" t="s">
        <v>201</v>
      </c>
      <c r="F50" s="815">
        <f t="shared" si="7"/>
        <v>329000</v>
      </c>
      <c r="G50" s="820">
        <v>329000</v>
      </c>
      <c r="H50" s="816">
        <v>256310</v>
      </c>
      <c r="I50" s="816"/>
      <c r="J50" s="816"/>
      <c r="K50" s="1058">
        <f t="shared" si="6"/>
        <v>0</v>
      </c>
      <c r="L50" s="1059"/>
      <c r="M50" s="1059"/>
      <c r="N50" s="1059"/>
      <c r="O50" s="1059"/>
      <c r="P50" s="1059"/>
      <c r="Q50" s="1059"/>
      <c r="R50" s="1027">
        <f t="shared" si="3"/>
        <v>329000</v>
      </c>
    </row>
    <row r="51" spans="1:18" s="77" customFormat="1" ht="53.25" hidden="1" customHeight="1" x14ac:dyDescent="0.25">
      <c r="A51" s="90"/>
      <c r="B51" s="108"/>
      <c r="C51" s="95"/>
      <c r="D51" s="96"/>
      <c r="E51" s="109"/>
      <c r="F51" s="815"/>
      <c r="G51" s="820"/>
      <c r="H51" s="816"/>
      <c r="I51" s="816"/>
      <c r="J51" s="816"/>
      <c r="K51" s="1058">
        <f t="shared" si="6"/>
        <v>0</v>
      </c>
      <c r="L51" s="1059"/>
      <c r="M51" s="1059"/>
      <c r="N51" s="1059"/>
      <c r="O51" s="1059"/>
      <c r="P51" s="1059"/>
      <c r="Q51" s="1059"/>
      <c r="R51" s="1027">
        <f t="shared" si="3"/>
        <v>0</v>
      </c>
    </row>
    <row r="52" spans="1:18" s="77" customFormat="1" ht="15.75" hidden="1" customHeight="1" x14ac:dyDescent="0.25">
      <c r="A52" s="90"/>
      <c r="B52" s="91"/>
      <c r="C52" s="92"/>
      <c r="D52" s="93"/>
      <c r="E52" s="94" t="s">
        <v>442</v>
      </c>
      <c r="F52" s="815">
        <f t="shared" si="7"/>
        <v>0</v>
      </c>
      <c r="G52" s="820"/>
      <c r="H52" s="816"/>
      <c r="I52" s="816"/>
      <c r="J52" s="815"/>
      <c r="K52" s="1058">
        <f t="shared" si="6"/>
        <v>0</v>
      </c>
      <c r="L52" s="1058"/>
      <c r="M52" s="1058"/>
      <c r="N52" s="1058"/>
      <c r="O52" s="1058"/>
      <c r="P52" s="1058"/>
      <c r="Q52" s="1059"/>
      <c r="R52" s="1027">
        <f t="shared" si="3"/>
        <v>0</v>
      </c>
    </row>
    <row r="53" spans="1:18" s="77" customFormat="1" ht="31.2" x14ac:dyDescent="0.25">
      <c r="A53" s="90"/>
      <c r="B53" s="107" t="s">
        <v>463</v>
      </c>
      <c r="C53" s="95" t="s">
        <v>217</v>
      </c>
      <c r="D53" s="96" t="s">
        <v>209</v>
      </c>
      <c r="E53" s="94" t="s">
        <v>216</v>
      </c>
      <c r="F53" s="815">
        <f t="shared" si="7"/>
        <v>1470000</v>
      </c>
      <c r="G53" s="820">
        <f>401000+1015000+54000</f>
        <v>1470000</v>
      </c>
      <c r="H53" s="816"/>
      <c r="I53" s="816"/>
      <c r="J53" s="816"/>
      <c r="K53" s="1057">
        <f t="shared" si="6"/>
        <v>170000</v>
      </c>
      <c r="L53" s="1048">
        <v>170000</v>
      </c>
      <c r="M53" s="1048"/>
      <c r="N53" s="1048"/>
      <c r="O53" s="1048"/>
      <c r="P53" s="1048"/>
      <c r="Q53" s="1048">
        <v>170000</v>
      </c>
      <c r="R53" s="1027">
        <f t="shared" si="3"/>
        <v>1640000</v>
      </c>
    </row>
    <row r="54" spans="1:18" s="77" customFormat="1" ht="15.6" x14ac:dyDescent="0.25">
      <c r="A54" s="90"/>
      <c r="B54" s="107" t="s">
        <v>464</v>
      </c>
      <c r="C54" s="95" t="s">
        <v>214</v>
      </c>
      <c r="D54" s="96" t="s">
        <v>209</v>
      </c>
      <c r="E54" s="94" t="s">
        <v>213</v>
      </c>
      <c r="F54" s="815">
        <f t="shared" si="7"/>
        <v>1480000</v>
      </c>
      <c r="G54" s="820">
        <v>1480000</v>
      </c>
      <c r="H54" s="816"/>
      <c r="I54" s="816">
        <f>400000-400000</f>
        <v>0</v>
      </c>
      <c r="J54" s="816"/>
      <c r="K54" s="1058">
        <f t="shared" si="6"/>
        <v>0</v>
      </c>
      <c r="L54" s="1059"/>
      <c r="M54" s="1059"/>
      <c r="N54" s="1059"/>
      <c r="O54" s="1059"/>
      <c r="P54" s="1059"/>
      <c r="Q54" s="1059"/>
      <c r="R54" s="1027">
        <f t="shared" si="3"/>
        <v>1480000</v>
      </c>
    </row>
    <row r="55" spans="1:18" s="77" customFormat="1" ht="46.8" x14ac:dyDescent="0.25">
      <c r="A55" s="90"/>
      <c r="B55" s="107" t="s">
        <v>687</v>
      </c>
      <c r="C55" s="95" t="s">
        <v>465</v>
      </c>
      <c r="D55" s="96" t="s">
        <v>209</v>
      </c>
      <c r="E55" s="94" t="s">
        <v>212</v>
      </c>
      <c r="F55" s="815">
        <f t="shared" si="7"/>
        <v>2077047</v>
      </c>
      <c r="G55" s="820">
        <f>2000000+34647+42400</f>
        <v>2077047</v>
      </c>
      <c r="H55" s="816"/>
      <c r="I55" s="816"/>
      <c r="J55" s="816"/>
      <c r="K55" s="1057">
        <f t="shared" si="6"/>
        <v>741000</v>
      </c>
      <c r="L55" s="1048">
        <v>741000</v>
      </c>
      <c r="M55" s="1059"/>
      <c r="N55" s="1059"/>
      <c r="O55" s="1059"/>
      <c r="P55" s="1059"/>
      <c r="Q55" s="1048">
        <v>741000</v>
      </c>
      <c r="R55" s="1027">
        <f t="shared" si="3"/>
        <v>2818047</v>
      </c>
    </row>
    <row r="56" spans="1:18" s="77" customFormat="1" ht="15.6" x14ac:dyDescent="0.25">
      <c r="A56" s="90"/>
      <c r="B56" s="107" t="s">
        <v>466</v>
      </c>
      <c r="C56" s="95" t="s">
        <v>210</v>
      </c>
      <c r="D56" s="96" t="s">
        <v>209</v>
      </c>
      <c r="E56" s="94" t="s">
        <v>208</v>
      </c>
      <c r="F56" s="815">
        <f t="shared" si="7"/>
        <v>5607710</v>
      </c>
      <c r="G56" s="820">
        <f>5131500+300000+960000+344000-899546-40000-188244</f>
        <v>5607710</v>
      </c>
      <c r="H56" s="816"/>
      <c r="I56" s="816">
        <f>1000000+960000-690647-40000-188244</f>
        <v>1041109</v>
      </c>
      <c r="J56" s="816"/>
      <c r="K56" s="1057">
        <f t="shared" si="6"/>
        <v>145399</v>
      </c>
      <c r="L56" s="1048">
        <f>85399+60000</f>
        <v>145399</v>
      </c>
      <c r="M56" s="1048"/>
      <c r="N56" s="1048"/>
      <c r="O56" s="1048"/>
      <c r="P56" s="1048"/>
      <c r="Q56" s="1048">
        <f>85399+60000</f>
        <v>145399</v>
      </c>
      <c r="R56" s="1027">
        <f t="shared" si="3"/>
        <v>5753109</v>
      </c>
    </row>
    <row r="57" spans="1:18" s="77" customFormat="1" ht="78.75" hidden="1" customHeight="1" x14ac:dyDescent="0.25">
      <c r="A57" s="90"/>
      <c r="B57" s="107" t="s">
        <v>467</v>
      </c>
      <c r="C57" s="95" t="s">
        <v>468</v>
      </c>
      <c r="D57" s="96" t="s">
        <v>206</v>
      </c>
      <c r="E57" s="94" t="s">
        <v>469</v>
      </c>
      <c r="F57" s="815"/>
      <c r="G57" s="818"/>
      <c r="H57" s="816"/>
      <c r="I57" s="816"/>
      <c r="J57" s="816"/>
      <c r="K57" s="1058">
        <f t="shared" si="6"/>
        <v>0</v>
      </c>
      <c r="L57" s="1059"/>
      <c r="M57" s="1059"/>
      <c r="N57" s="1059"/>
      <c r="O57" s="1059"/>
      <c r="P57" s="1059"/>
      <c r="Q57" s="1059"/>
      <c r="R57" s="1027">
        <f t="shared" si="3"/>
        <v>0</v>
      </c>
    </row>
    <row r="58" spans="1:18" s="77" customFormat="1" ht="18" customHeight="1" x14ac:dyDescent="0.25">
      <c r="A58" s="90"/>
      <c r="B58" s="107" t="s">
        <v>470</v>
      </c>
      <c r="C58" s="95" t="s">
        <v>207</v>
      </c>
      <c r="D58" s="96" t="s">
        <v>206</v>
      </c>
      <c r="E58" s="94" t="s">
        <v>205</v>
      </c>
      <c r="F58" s="815">
        <f t="shared" si="7"/>
        <v>221240</v>
      </c>
      <c r="G58" s="820">
        <f>181240+40000</f>
        <v>221240</v>
      </c>
      <c r="H58" s="816">
        <v>42000</v>
      </c>
      <c r="I58" s="816"/>
      <c r="J58" s="816"/>
      <c r="K58" s="1060">
        <f t="shared" si="6"/>
        <v>80000</v>
      </c>
      <c r="L58" s="1061">
        <v>80000</v>
      </c>
      <c r="M58" s="1061"/>
      <c r="N58" s="1061"/>
      <c r="O58" s="1061"/>
      <c r="P58" s="1061"/>
      <c r="Q58" s="1061">
        <v>80000</v>
      </c>
      <c r="R58" s="1027">
        <f t="shared" si="3"/>
        <v>301240</v>
      </c>
    </row>
    <row r="59" spans="1:18" s="77" customFormat="1" ht="63" hidden="1" customHeight="1" x14ac:dyDescent="0.25">
      <c r="A59" s="90"/>
      <c r="B59" s="107" t="s">
        <v>471</v>
      </c>
      <c r="C59" s="95" t="s">
        <v>58</v>
      </c>
      <c r="D59" s="96" t="s">
        <v>57</v>
      </c>
      <c r="E59" s="94" t="s">
        <v>56</v>
      </c>
      <c r="F59" s="815">
        <f t="shared" si="7"/>
        <v>0</v>
      </c>
      <c r="G59" s="820"/>
      <c r="H59" s="816"/>
      <c r="I59" s="816"/>
      <c r="J59" s="816"/>
      <c r="K59" s="1058">
        <f t="shared" si="6"/>
        <v>0</v>
      </c>
      <c r="L59" s="1059"/>
      <c r="M59" s="1059"/>
      <c r="N59" s="1059"/>
      <c r="O59" s="1059"/>
      <c r="P59" s="1059"/>
      <c r="Q59" s="1059"/>
      <c r="R59" s="1027">
        <f t="shared" si="3"/>
        <v>0</v>
      </c>
    </row>
    <row r="60" spans="1:18" s="77" customFormat="1" ht="15.6" x14ac:dyDescent="0.25">
      <c r="A60" s="90"/>
      <c r="B60" s="107" t="s">
        <v>472</v>
      </c>
      <c r="C60" s="95" t="s">
        <v>204</v>
      </c>
      <c r="D60" s="96" t="s">
        <v>203</v>
      </c>
      <c r="E60" s="94" t="s">
        <v>202</v>
      </c>
      <c r="F60" s="815">
        <f t="shared" si="7"/>
        <v>182500</v>
      </c>
      <c r="G60" s="820">
        <f>50000+82500</f>
        <v>132500</v>
      </c>
      <c r="H60" s="816"/>
      <c r="I60" s="816"/>
      <c r="J60" s="816">
        <v>50000</v>
      </c>
      <c r="K60" s="1057"/>
      <c r="L60" s="1048"/>
      <c r="M60" s="1048"/>
      <c r="N60" s="1048"/>
      <c r="O60" s="1048"/>
      <c r="P60" s="1048"/>
      <c r="Q60" s="1048"/>
      <c r="R60" s="1027">
        <f t="shared" si="3"/>
        <v>182500</v>
      </c>
    </row>
    <row r="61" spans="1:18" s="77" customFormat="1" ht="31.5" hidden="1" customHeight="1" x14ac:dyDescent="0.25">
      <c r="A61" s="90"/>
      <c r="B61" s="107" t="s">
        <v>571</v>
      </c>
      <c r="C61" s="95" t="s">
        <v>200</v>
      </c>
      <c r="D61" s="96" t="s">
        <v>21</v>
      </c>
      <c r="E61" s="94" t="s">
        <v>578</v>
      </c>
      <c r="F61" s="815"/>
      <c r="G61" s="820"/>
      <c r="H61" s="816"/>
      <c r="I61" s="816"/>
      <c r="J61" s="816"/>
      <c r="K61" s="1057">
        <f>N61+L61</f>
        <v>0</v>
      </c>
      <c r="L61" s="1048"/>
      <c r="M61" s="1048"/>
      <c r="N61" s="1048"/>
      <c r="O61" s="1048"/>
      <c r="P61" s="1048"/>
      <c r="Q61" s="1048"/>
      <c r="R61" s="1027">
        <f t="shared" si="3"/>
        <v>0</v>
      </c>
    </row>
    <row r="62" spans="1:18" s="77" customFormat="1" ht="15.6" x14ac:dyDescent="0.25">
      <c r="A62" s="90"/>
      <c r="B62" s="107" t="s">
        <v>691</v>
      </c>
      <c r="C62" s="95" t="s">
        <v>473</v>
      </c>
      <c r="D62" s="96" t="s">
        <v>21</v>
      </c>
      <c r="E62" s="94" t="s">
        <v>197</v>
      </c>
      <c r="F62" s="815">
        <f t="shared" si="7"/>
        <v>0</v>
      </c>
      <c r="G62" s="820"/>
      <c r="H62" s="816"/>
      <c r="I62" s="816"/>
      <c r="J62" s="816"/>
      <c r="K62" s="1057">
        <f>N62+L62</f>
        <v>133211</v>
      </c>
      <c r="L62" s="820">
        <f>34211+99000</f>
        <v>133211</v>
      </c>
      <c r="M62" s="1048"/>
      <c r="N62" s="1048"/>
      <c r="O62" s="1048"/>
      <c r="P62" s="1048"/>
      <c r="Q62" s="820">
        <f>34211+99000</f>
        <v>133211</v>
      </c>
      <c r="R62" s="1027">
        <f t="shared" si="3"/>
        <v>133211</v>
      </c>
    </row>
    <row r="63" spans="1:18" s="77" customFormat="1" ht="31.2" x14ac:dyDescent="0.25">
      <c r="A63" s="90"/>
      <c r="B63" s="107" t="s">
        <v>692</v>
      </c>
      <c r="C63" s="95" t="s">
        <v>196</v>
      </c>
      <c r="D63" s="96" t="s">
        <v>21</v>
      </c>
      <c r="E63" s="94" t="s">
        <v>195</v>
      </c>
      <c r="F63" s="815">
        <f>G63+J63</f>
        <v>0</v>
      </c>
      <c r="G63" s="820"/>
      <c r="H63" s="816"/>
      <c r="I63" s="816"/>
      <c r="J63" s="816"/>
      <c r="K63" s="1057">
        <f>N63+L63</f>
        <v>78000</v>
      </c>
      <c r="L63" s="820">
        <v>78000</v>
      </c>
      <c r="M63" s="1059"/>
      <c r="N63" s="1059"/>
      <c r="O63" s="1059"/>
      <c r="P63" s="1059"/>
      <c r="Q63" s="820">
        <v>78000</v>
      </c>
      <c r="R63" s="1027">
        <f t="shared" si="3"/>
        <v>78000</v>
      </c>
    </row>
    <row r="64" spans="1:18" s="77" customFormat="1" ht="31.5" hidden="1" customHeight="1" x14ac:dyDescent="0.25">
      <c r="A64" s="90"/>
      <c r="B64" s="107" t="s">
        <v>927</v>
      </c>
      <c r="C64" s="95" t="s">
        <v>928</v>
      </c>
      <c r="D64" s="96" t="s">
        <v>21</v>
      </c>
      <c r="E64" s="94" t="s">
        <v>929</v>
      </c>
      <c r="F64" s="815">
        <f>G64+J64</f>
        <v>0</v>
      </c>
      <c r="G64" s="820"/>
      <c r="H64" s="816"/>
      <c r="I64" s="816"/>
      <c r="J64" s="816"/>
      <c r="K64" s="1057">
        <f>N64+L64</f>
        <v>0</v>
      </c>
      <c r="L64" s="1048"/>
      <c r="M64" s="1059"/>
      <c r="N64" s="1059"/>
      <c r="O64" s="1059"/>
      <c r="P64" s="1059"/>
      <c r="Q64" s="1048"/>
      <c r="R64" s="1027">
        <f t="shared" si="3"/>
        <v>0</v>
      </c>
    </row>
    <row r="65" spans="1:18" s="77" customFormat="1" ht="31.2" hidden="1" x14ac:dyDescent="0.25">
      <c r="A65" s="90"/>
      <c r="B65" s="107" t="s">
        <v>569</v>
      </c>
      <c r="C65" s="95" t="s">
        <v>194</v>
      </c>
      <c r="D65" s="96" t="s">
        <v>53</v>
      </c>
      <c r="E65" s="94" t="s">
        <v>52</v>
      </c>
      <c r="F65" s="815">
        <f>G65+J65</f>
        <v>0</v>
      </c>
      <c r="G65" s="820"/>
      <c r="H65" s="816"/>
      <c r="I65" s="816"/>
      <c r="J65" s="816"/>
      <c r="K65" s="1057">
        <f>N65+L65</f>
        <v>0</v>
      </c>
      <c r="L65" s="1048"/>
      <c r="M65" s="1059"/>
      <c r="N65" s="1059"/>
      <c r="O65" s="1059"/>
      <c r="P65" s="1059"/>
      <c r="Q65" s="1048"/>
      <c r="R65" s="1027">
        <f t="shared" si="3"/>
        <v>0</v>
      </c>
    </row>
    <row r="66" spans="1:18" s="77" customFormat="1" ht="31.2" x14ac:dyDescent="0.25">
      <c r="A66" s="90"/>
      <c r="B66" s="107" t="s">
        <v>474</v>
      </c>
      <c r="C66" s="95" t="s">
        <v>193</v>
      </c>
      <c r="D66" s="96" t="s">
        <v>192</v>
      </c>
      <c r="E66" s="94" t="s">
        <v>191</v>
      </c>
      <c r="F66" s="815">
        <f t="shared" si="7"/>
        <v>1425000</v>
      </c>
      <c r="G66" s="820">
        <f>1500000-75000</f>
        <v>1425000</v>
      </c>
      <c r="H66" s="816"/>
      <c r="I66" s="816"/>
      <c r="J66" s="816"/>
      <c r="K66" s="1057">
        <f t="shared" si="6"/>
        <v>0</v>
      </c>
      <c r="L66" s="1048"/>
      <c r="M66" s="1048"/>
      <c r="N66" s="1048"/>
      <c r="O66" s="1048"/>
      <c r="P66" s="1048"/>
      <c r="Q66" s="1048"/>
      <c r="R66" s="1027">
        <f t="shared" si="3"/>
        <v>1425000</v>
      </c>
    </row>
    <row r="67" spans="1:18" s="77" customFormat="1" ht="31.5" hidden="1" customHeight="1" x14ac:dyDescent="0.25">
      <c r="A67" s="90"/>
      <c r="B67" s="107" t="s">
        <v>190</v>
      </c>
      <c r="C67" s="95" t="s">
        <v>189</v>
      </c>
      <c r="D67" s="96" t="s">
        <v>188</v>
      </c>
      <c r="E67" s="94" t="s">
        <v>187</v>
      </c>
      <c r="F67" s="815">
        <f t="shared" si="7"/>
        <v>0</v>
      </c>
      <c r="G67" s="820"/>
      <c r="H67" s="816"/>
      <c r="I67" s="816"/>
      <c r="J67" s="816"/>
      <c r="K67" s="1058"/>
      <c r="L67" s="1059"/>
      <c r="M67" s="1059"/>
      <c r="N67" s="1059"/>
      <c r="O67" s="1059"/>
      <c r="P67" s="1059"/>
      <c r="Q67" s="1059"/>
      <c r="R67" s="1027">
        <f t="shared" si="3"/>
        <v>0</v>
      </c>
    </row>
    <row r="68" spans="1:18" s="77" customFormat="1" ht="15.75" customHeight="1" x14ac:dyDescent="0.25">
      <c r="A68" s="90"/>
      <c r="B68" s="107" t="s">
        <v>475</v>
      </c>
      <c r="C68" s="95" t="s">
        <v>186</v>
      </c>
      <c r="D68" s="96" t="s">
        <v>185</v>
      </c>
      <c r="E68" s="94" t="s">
        <v>184</v>
      </c>
      <c r="F68" s="815">
        <f t="shared" si="7"/>
        <v>2000</v>
      </c>
      <c r="G68" s="820"/>
      <c r="H68" s="816"/>
      <c r="I68" s="816"/>
      <c r="J68" s="820">
        <v>2000</v>
      </c>
      <c r="K68" s="1058">
        <f t="shared" si="6"/>
        <v>0</v>
      </c>
      <c r="L68" s="1059"/>
      <c r="M68" s="1059"/>
      <c r="N68" s="1059"/>
      <c r="O68" s="1059"/>
      <c r="P68" s="1059"/>
      <c r="Q68" s="1059"/>
      <c r="R68" s="1027">
        <f t="shared" si="3"/>
        <v>2000</v>
      </c>
    </row>
    <row r="69" spans="1:18" s="77" customFormat="1" ht="31.2" x14ac:dyDescent="0.25">
      <c r="A69" s="90"/>
      <c r="B69" s="107" t="s">
        <v>476</v>
      </c>
      <c r="C69" s="95" t="s">
        <v>183</v>
      </c>
      <c r="D69" s="96" t="s">
        <v>53</v>
      </c>
      <c r="E69" s="94" t="s">
        <v>182</v>
      </c>
      <c r="F69" s="815">
        <f t="shared" si="7"/>
        <v>0</v>
      </c>
      <c r="G69" s="820"/>
      <c r="H69" s="816"/>
      <c r="I69" s="816"/>
      <c r="J69" s="820"/>
      <c r="K69" s="1057">
        <f t="shared" si="6"/>
        <v>73000</v>
      </c>
      <c r="L69" s="1048">
        <f>50000+23000</f>
        <v>73000</v>
      </c>
      <c r="M69" s="1059"/>
      <c r="N69" s="1059"/>
      <c r="O69" s="1059"/>
      <c r="P69" s="1059"/>
      <c r="Q69" s="1048">
        <f>50000+23000</f>
        <v>73000</v>
      </c>
      <c r="R69" s="1027">
        <f t="shared" si="3"/>
        <v>73000</v>
      </c>
    </row>
    <row r="70" spans="1:18" s="77" customFormat="1" ht="47.25" hidden="1" customHeight="1" x14ac:dyDescent="0.25">
      <c r="A70" s="90"/>
      <c r="B70" s="107" t="s">
        <v>477</v>
      </c>
      <c r="C70" s="95" t="s">
        <v>181</v>
      </c>
      <c r="D70" s="96" t="s">
        <v>53</v>
      </c>
      <c r="E70" s="94" t="s">
        <v>180</v>
      </c>
      <c r="F70" s="815">
        <f t="shared" si="7"/>
        <v>0</v>
      </c>
      <c r="G70" s="820"/>
      <c r="H70" s="816"/>
      <c r="I70" s="816"/>
      <c r="J70" s="820"/>
      <c r="K70" s="1057">
        <f t="shared" si="6"/>
        <v>50000</v>
      </c>
      <c r="L70" s="1048">
        <v>50000</v>
      </c>
      <c r="M70" s="1059"/>
      <c r="N70" s="1059"/>
      <c r="O70" s="1059"/>
      <c r="P70" s="1059"/>
      <c r="Q70" s="1048">
        <v>50000</v>
      </c>
      <c r="R70" s="1027">
        <f t="shared" si="3"/>
        <v>50000</v>
      </c>
    </row>
    <row r="71" spans="1:18" s="77" customFormat="1" ht="17.25" customHeight="1" x14ac:dyDescent="0.25">
      <c r="A71" s="90"/>
      <c r="B71" s="107" t="s">
        <v>478</v>
      </c>
      <c r="C71" s="95" t="s">
        <v>179</v>
      </c>
      <c r="D71" s="96" t="s">
        <v>53</v>
      </c>
      <c r="E71" s="94" t="s">
        <v>178</v>
      </c>
      <c r="F71" s="815">
        <f t="shared" si="7"/>
        <v>30000</v>
      </c>
      <c r="G71" s="820">
        <v>30000</v>
      </c>
      <c r="H71" s="816"/>
      <c r="I71" s="816"/>
      <c r="J71" s="820"/>
      <c r="K71" s="1058">
        <f t="shared" si="6"/>
        <v>0</v>
      </c>
      <c r="L71" s="1059"/>
      <c r="M71" s="1059"/>
      <c r="N71" s="1059"/>
      <c r="O71" s="1059"/>
      <c r="P71" s="1059"/>
      <c r="Q71" s="1059"/>
      <c r="R71" s="1027">
        <f t="shared" si="3"/>
        <v>30000</v>
      </c>
    </row>
    <row r="72" spans="1:18" s="77" customFormat="1" ht="15.6" x14ac:dyDescent="0.25">
      <c r="A72" s="90"/>
      <c r="B72" s="107" t="s">
        <v>479</v>
      </c>
      <c r="C72" s="95" t="s">
        <v>177</v>
      </c>
      <c r="D72" s="96" t="s">
        <v>53</v>
      </c>
      <c r="E72" s="94" t="s">
        <v>176</v>
      </c>
      <c r="F72" s="815">
        <f t="shared" si="7"/>
        <v>82000</v>
      </c>
      <c r="G72" s="820">
        <f>47000+35000</f>
        <v>82000</v>
      </c>
      <c r="H72" s="816"/>
      <c r="I72" s="816"/>
      <c r="J72" s="820"/>
      <c r="K72" s="1057">
        <f t="shared" si="6"/>
        <v>0</v>
      </c>
      <c r="L72" s="1048"/>
      <c r="M72" s="1059"/>
      <c r="N72" s="1059"/>
      <c r="O72" s="1059"/>
      <c r="P72" s="1059"/>
      <c r="Q72" s="1048"/>
      <c r="R72" s="1027">
        <f>F72+K72</f>
        <v>82000</v>
      </c>
    </row>
    <row r="73" spans="1:18" s="77" customFormat="1" ht="15.75" hidden="1" customHeight="1" x14ac:dyDescent="0.25">
      <c r="A73" s="90"/>
      <c r="B73" s="107"/>
      <c r="C73" s="95"/>
      <c r="D73" s="96"/>
      <c r="E73" s="94" t="s">
        <v>49</v>
      </c>
      <c r="F73" s="815">
        <f t="shared" si="7"/>
        <v>0</v>
      </c>
      <c r="G73" s="820"/>
      <c r="H73" s="816"/>
      <c r="I73" s="816"/>
      <c r="J73" s="820"/>
      <c r="K73" s="1058"/>
      <c r="L73" s="1059"/>
      <c r="M73" s="1059"/>
      <c r="N73" s="1059"/>
      <c r="O73" s="1059"/>
      <c r="P73" s="1059"/>
      <c r="Q73" s="1059"/>
      <c r="R73" s="1027">
        <f t="shared" si="3"/>
        <v>0</v>
      </c>
    </row>
    <row r="74" spans="1:18" s="77" customFormat="1" ht="33.75" customHeight="1" x14ac:dyDescent="0.25">
      <c r="A74" s="90"/>
      <c r="B74" s="107" t="s">
        <v>480</v>
      </c>
      <c r="C74" s="95" t="s">
        <v>175</v>
      </c>
      <c r="D74" s="96" t="s">
        <v>172</v>
      </c>
      <c r="E74" s="94" t="s">
        <v>174</v>
      </c>
      <c r="F74" s="815">
        <f t="shared" si="7"/>
        <v>235000</v>
      </c>
      <c r="G74" s="820">
        <f>65000+150000+20000</f>
        <v>235000</v>
      </c>
      <c r="H74" s="816"/>
      <c r="I74" s="816"/>
      <c r="J74" s="820"/>
      <c r="K74" s="1057">
        <f t="shared" si="6"/>
        <v>53000</v>
      </c>
      <c r="L74" s="1048">
        <v>53000</v>
      </c>
      <c r="M74" s="1059"/>
      <c r="N74" s="1059"/>
      <c r="O74" s="1059"/>
      <c r="P74" s="1059"/>
      <c r="Q74" s="1048">
        <v>53000</v>
      </c>
      <c r="R74" s="1027">
        <f t="shared" si="3"/>
        <v>288000</v>
      </c>
    </row>
    <row r="75" spans="1:18" s="77" customFormat="1" ht="15.6" x14ac:dyDescent="0.25">
      <c r="A75" s="90"/>
      <c r="B75" s="107" t="s">
        <v>481</v>
      </c>
      <c r="C75" s="95" t="s">
        <v>173</v>
      </c>
      <c r="D75" s="96" t="s">
        <v>172</v>
      </c>
      <c r="E75" s="94" t="s">
        <v>171</v>
      </c>
      <c r="F75" s="815">
        <f t="shared" si="7"/>
        <v>16800</v>
      </c>
      <c r="G75" s="820">
        <v>16800</v>
      </c>
      <c r="H75" s="816"/>
      <c r="I75" s="816"/>
      <c r="J75" s="820"/>
      <c r="K75" s="1058">
        <f t="shared" si="6"/>
        <v>0</v>
      </c>
      <c r="L75" s="1059"/>
      <c r="M75" s="1059"/>
      <c r="N75" s="1059"/>
      <c r="O75" s="1059"/>
      <c r="P75" s="1059"/>
      <c r="Q75" s="1059"/>
      <c r="R75" s="1027">
        <f t="shared" si="3"/>
        <v>16800</v>
      </c>
    </row>
    <row r="76" spans="1:18" s="77" customFormat="1" ht="15.6" customHeight="1" x14ac:dyDescent="0.25">
      <c r="A76" s="90"/>
      <c r="B76" s="107" t="s">
        <v>770</v>
      </c>
      <c r="C76" s="95" t="s">
        <v>698</v>
      </c>
      <c r="D76" s="96" t="s">
        <v>484</v>
      </c>
      <c r="E76" s="110" t="s">
        <v>699</v>
      </c>
      <c r="F76" s="815">
        <f t="shared" si="7"/>
        <v>80000</v>
      </c>
      <c r="G76" s="820">
        <v>80000</v>
      </c>
      <c r="H76" s="816"/>
      <c r="I76" s="816"/>
      <c r="J76" s="820"/>
      <c r="K76" s="1058">
        <f t="shared" si="6"/>
        <v>0</v>
      </c>
      <c r="L76" s="1059"/>
      <c r="M76" s="1059"/>
      <c r="N76" s="1059"/>
      <c r="O76" s="1059"/>
      <c r="P76" s="1059"/>
      <c r="Q76" s="1059"/>
      <c r="R76" s="1027">
        <f t="shared" si="3"/>
        <v>80000</v>
      </c>
    </row>
    <row r="77" spans="1:18" s="77" customFormat="1" ht="15.6" x14ac:dyDescent="0.25">
      <c r="A77" s="90"/>
      <c r="B77" s="107" t="s">
        <v>700</v>
      </c>
      <c r="C77" s="95">
        <v>8240</v>
      </c>
      <c r="D77" s="95" t="s">
        <v>484</v>
      </c>
      <c r="E77" s="316" t="s">
        <v>701</v>
      </c>
      <c r="F77" s="815">
        <f t="shared" si="7"/>
        <v>55000</v>
      </c>
      <c r="G77" s="820">
        <f>1000000-70000-875000</f>
        <v>55000</v>
      </c>
      <c r="H77" s="815"/>
      <c r="I77" s="815"/>
      <c r="J77" s="818"/>
      <c r="K77" s="1081">
        <f t="shared" si="6"/>
        <v>70000</v>
      </c>
      <c r="L77" s="317">
        <v>70000</v>
      </c>
      <c r="M77" s="318"/>
      <c r="N77" s="318"/>
      <c r="O77" s="318"/>
      <c r="P77" s="318"/>
      <c r="Q77" s="318">
        <v>70000</v>
      </c>
      <c r="R77" s="1082">
        <f t="shared" si="3"/>
        <v>125000</v>
      </c>
    </row>
    <row r="78" spans="1:18" s="77" customFormat="1" ht="18.75" customHeight="1" x14ac:dyDescent="0.25">
      <c r="A78" s="90"/>
      <c r="B78" s="107" t="s">
        <v>486</v>
      </c>
      <c r="C78" s="95" t="s">
        <v>170</v>
      </c>
      <c r="D78" s="96" t="s">
        <v>169</v>
      </c>
      <c r="E78" s="94" t="s">
        <v>168</v>
      </c>
      <c r="F78" s="815">
        <f t="shared" si="7"/>
        <v>0</v>
      </c>
      <c r="G78" s="820"/>
      <c r="H78" s="816"/>
      <c r="I78" s="816"/>
      <c r="J78" s="816"/>
      <c r="K78" s="1057">
        <f t="shared" si="6"/>
        <v>197982.97999999998</v>
      </c>
      <c r="L78" s="1048"/>
      <c r="M78" s="1048"/>
      <c r="N78" s="1048">
        <f>80000+117982.98</f>
        <v>197982.97999999998</v>
      </c>
      <c r="O78" s="1059"/>
      <c r="P78" s="1059"/>
      <c r="Q78" s="1059"/>
      <c r="R78" s="1027">
        <f t="shared" si="3"/>
        <v>197982.97999999998</v>
      </c>
    </row>
    <row r="79" spans="1:18" s="77" customFormat="1" ht="21.75" customHeight="1" x14ac:dyDescent="0.25">
      <c r="A79" s="90"/>
      <c r="B79" s="107" t="s">
        <v>487</v>
      </c>
      <c r="C79" s="95" t="s">
        <v>167</v>
      </c>
      <c r="D79" s="96" t="s">
        <v>166</v>
      </c>
      <c r="E79" s="94" t="s">
        <v>1085</v>
      </c>
      <c r="F79" s="815">
        <f t="shared" si="7"/>
        <v>350090</v>
      </c>
      <c r="G79" s="820">
        <f>205000+145090</f>
        <v>350090</v>
      </c>
      <c r="H79" s="816"/>
      <c r="I79" s="816"/>
      <c r="J79" s="820"/>
      <c r="K79" s="1058">
        <f t="shared" si="6"/>
        <v>0</v>
      </c>
      <c r="L79" s="1059"/>
      <c r="M79" s="1059"/>
      <c r="N79" s="1059"/>
      <c r="O79" s="1059"/>
      <c r="P79" s="1059"/>
      <c r="Q79" s="1059"/>
      <c r="R79" s="1027">
        <f t="shared" si="3"/>
        <v>350090</v>
      </c>
    </row>
    <row r="80" spans="1:18" s="77" customFormat="1" ht="15.75" hidden="1" customHeight="1" x14ac:dyDescent="0.25">
      <c r="A80" s="90"/>
      <c r="B80" s="107"/>
      <c r="C80" s="95"/>
      <c r="D80" s="96"/>
      <c r="E80" s="94"/>
      <c r="F80" s="820"/>
      <c r="G80" s="820"/>
      <c r="H80" s="816"/>
      <c r="I80" s="816"/>
      <c r="J80" s="816"/>
      <c r="K80" s="1058">
        <f t="shared" si="6"/>
        <v>0</v>
      </c>
      <c r="L80" s="1059"/>
      <c r="M80" s="1059"/>
      <c r="N80" s="1059"/>
      <c r="O80" s="1059"/>
      <c r="P80" s="1059"/>
      <c r="Q80" s="1059"/>
      <c r="R80" s="1027">
        <f t="shared" si="3"/>
        <v>0</v>
      </c>
    </row>
    <row r="81" spans="1:19" s="77" customFormat="1" ht="47.25" hidden="1" customHeight="1" x14ac:dyDescent="0.25">
      <c r="A81" s="90"/>
      <c r="B81" s="107" t="s">
        <v>488</v>
      </c>
      <c r="C81" s="95" t="s">
        <v>489</v>
      </c>
      <c r="D81" s="96" t="s">
        <v>7</v>
      </c>
      <c r="E81" s="94" t="s">
        <v>490</v>
      </c>
      <c r="F81" s="815">
        <f t="shared" si="7"/>
        <v>0</v>
      </c>
      <c r="G81" s="830"/>
      <c r="H81" s="816"/>
      <c r="I81" s="816"/>
      <c r="J81" s="816"/>
      <c r="K81" s="1058">
        <f t="shared" si="6"/>
        <v>0</v>
      </c>
      <c r="L81" s="1059"/>
      <c r="M81" s="1059"/>
      <c r="N81" s="1059"/>
      <c r="O81" s="1059"/>
      <c r="P81" s="1059"/>
      <c r="Q81" s="1059"/>
      <c r="R81" s="1027">
        <f t="shared" si="3"/>
        <v>0</v>
      </c>
    </row>
    <row r="82" spans="1:19" s="77" customFormat="1" ht="15.75" hidden="1" customHeight="1" x14ac:dyDescent="0.25">
      <c r="A82" s="90"/>
      <c r="B82" s="107"/>
      <c r="C82" s="95"/>
      <c r="D82" s="96"/>
      <c r="E82" s="94" t="s">
        <v>491</v>
      </c>
      <c r="F82" s="815">
        <f t="shared" si="7"/>
        <v>0</v>
      </c>
      <c r="G82" s="830"/>
      <c r="H82" s="816"/>
      <c r="I82" s="816"/>
      <c r="J82" s="816"/>
      <c r="K82" s="1058">
        <f t="shared" si="6"/>
        <v>0</v>
      </c>
      <c r="L82" s="1059"/>
      <c r="M82" s="1059"/>
      <c r="N82" s="1059"/>
      <c r="O82" s="1059"/>
      <c r="P82" s="1059"/>
      <c r="Q82" s="1059"/>
      <c r="R82" s="1027">
        <f t="shared" si="3"/>
        <v>0</v>
      </c>
    </row>
    <row r="83" spans="1:19" s="77" customFormat="1" ht="31.2" x14ac:dyDescent="0.25">
      <c r="A83" s="90"/>
      <c r="B83" s="107" t="s">
        <v>709</v>
      </c>
      <c r="C83" s="95" t="s">
        <v>8</v>
      </c>
      <c r="D83" s="96" t="s">
        <v>7</v>
      </c>
      <c r="E83" s="94" t="s">
        <v>6</v>
      </c>
      <c r="F83" s="815">
        <f t="shared" si="7"/>
        <v>500000</v>
      </c>
      <c r="G83" s="820">
        <f>240000+200000+60000</f>
        <v>500000</v>
      </c>
      <c r="H83" s="816"/>
      <c r="I83" s="816"/>
      <c r="J83" s="816"/>
      <c r="K83" s="1057">
        <f t="shared" si="6"/>
        <v>550000</v>
      </c>
      <c r="L83" s="1048">
        <f>60000+550000-60000</f>
        <v>550000</v>
      </c>
      <c r="M83" s="1048"/>
      <c r="N83" s="1048"/>
      <c r="O83" s="1048"/>
      <c r="P83" s="1048"/>
      <c r="Q83" s="1048">
        <f>60000+550000-60000</f>
        <v>550000</v>
      </c>
      <c r="R83" s="1027">
        <f t="shared" si="3"/>
        <v>1050000</v>
      </c>
    </row>
    <row r="84" spans="1:19" s="77" customFormat="1" ht="15" hidden="1" customHeight="1" x14ac:dyDescent="0.25">
      <c r="A84" s="90"/>
      <c r="B84" s="112" t="s">
        <v>492</v>
      </c>
      <c r="C84" s="95"/>
      <c r="D84" s="96"/>
      <c r="E84" s="111"/>
      <c r="F84" s="815">
        <f t="shared" si="7"/>
        <v>0</v>
      </c>
      <c r="G84" s="820"/>
      <c r="H84" s="816"/>
      <c r="I84" s="816"/>
      <c r="J84" s="816"/>
      <c r="K84" s="1058">
        <f t="shared" si="6"/>
        <v>0</v>
      </c>
      <c r="L84" s="1059"/>
      <c r="M84" s="1059"/>
      <c r="N84" s="1059"/>
      <c r="O84" s="1059"/>
      <c r="P84" s="1059">
        <f>O84</f>
        <v>0</v>
      </c>
      <c r="Q84" s="1059"/>
      <c r="R84" s="1027">
        <f t="shared" si="3"/>
        <v>0</v>
      </c>
    </row>
    <row r="85" spans="1:19" s="77" customFormat="1" ht="15" hidden="1" customHeight="1" x14ac:dyDescent="0.25">
      <c r="A85" s="90"/>
      <c r="B85" s="112"/>
      <c r="C85" s="95"/>
      <c r="D85" s="96"/>
      <c r="E85" s="111"/>
      <c r="F85" s="815">
        <f t="shared" si="7"/>
        <v>0</v>
      </c>
      <c r="G85" s="820"/>
      <c r="H85" s="816"/>
      <c r="I85" s="816"/>
      <c r="J85" s="816"/>
      <c r="K85" s="1058">
        <f t="shared" si="6"/>
        <v>0</v>
      </c>
      <c r="L85" s="1059"/>
      <c r="M85" s="1059"/>
      <c r="N85" s="1059"/>
      <c r="O85" s="1059"/>
      <c r="P85" s="1059">
        <f>O85</f>
        <v>0</v>
      </c>
      <c r="Q85" s="1059"/>
      <c r="R85" s="1027">
        <f t="shared" si="3"/>
        <v>0</v>
      </c>
    </row>
    <row r="86" spans="1:19" s="77" customFormat="1" ht="15" hidden="1" customHeight="1" x14ac:dyDescent="0.25">
      <c r="A86" s="90"/>
      <c r="B86" s="112"/>
      <c r="C86" s="95"/>
      <c r="D86" s="96"/>
      <c r="E86" s="111"/>
      <c r="F86" s="815">
        <f t="shared" si="7"/>
        <v>0</v>
      </c>
      <c r="G86" s="820"/>
      <c r="H86" s="816"/>
      <c r="I86" s="816"/>
      <c r="J86" s="816"/>
      <c r="K86" s="1058">
        <f t="shared" si="6"/>
        <v>0</v>
      </c>
      <c r="L86" s="1059"/>
      <c r="M86" s="1059"/>
      <c r="N86" s="1059"/>
      <c r="O86" s="1059"/>
      <c r="P86" s="1059">
        <f>O86</f>
        <v>0</v>
      </c>
      <c r="Q86" s="1059"/>
      <c r="R86" s="1027">
        <f t="shared" si="3"/>
        <v>0</v>
      </c>
    </row>
    <row r="87" spans="1:19" s="77" customFormat="1" ht="15" hidden="1" customHeight="1" x14ac:dyDescent="0.25">
      <c r="A87" s="90"/>
      <c r="B87" s="113"/>
      <c r="C87" s="114" t="s">
        <v>359</v>
      </c>
      <c r="D87" s="115"/>
      <c r="E87" s="116"/>
      <c r="F87" s="831">
        <f t="shared" ref="F87:R87" si="8">SUM(F16:F86)-F17-F29-F50</f>
        <v>44322328</v>
      </c>
      <c r="G87" s="832">
        <f t="shared" si="8"/>
        <v>44270328</v>
      </c>
      <c r="H87" s="831">
        <f t="shared" si="8"/>
        <v>22092297</v>
      </c>
      <c r="I87" s="831">
        <f t="shared" si="8"/>
        <v>1876793</v>
      </c>
      <c r="J87" s="831">
        <f t="shared" si="8"/>
        <v>52000</v>
      </c>
      <c r="K87" s="1055">
        <f t="shared" si="8"/>
        <v>2493192.98</v>
      </c>
      <c r="L87" s="1055">
        <f t="shared" si="8"/>
        <v>2295210</v>
      </c>
      <c r="M87" s="1055">
        <f t="shared" si="8"/>
        <v>0</v>
      </c>
      <c r="N87" s="1055">
        <f t="shared" si="8"/>
        <v>197982.97999999998</v>
      </c>
      <c r="O87" s="1055">
        <f t="shared" si="8"/>
        <v>0</v>
      </c>
      <c r="P87" s="1055">
        <f t="shared" si="8"/>
        <v>0</v>
      </c>
      <c r="Q87" s="1055">
        <f t="shared" si="8"/>
        <v>2295210</v>
      </c>
      <c r="R87" s="1062">
        <f t="shared" si="8"/>
        <v>46815520.979999997</v>
      </c>
    </row>
    <row r="88" spans="1:19" s="77" customFormat="1" ht="16.5" customHeight="1" thickBot="1" x14ac:dyDescent="0.3">
      <c r="A88" s="90"/>
      <c r="B88" s="108"/>
      <c r="C88" s="118"/>
      <c r="D88" s="119"/>
      <c r="E88" s="120"/>
      <c r="F88" s="829">
        <f t="shared" ref="F88:Q88" si="9">F12-F87</f>
        <v>0</v>
      </c>
      <c r="G88" s="828">
        <f t="shared" si="9"/>
        <v>0</v>
      </c>
      <c r="H88" s="829"/>
      <c r="I88" s="829"/>
      <c r="J88" s="829">
        <f t="shared" si="9"/>
        <v>0</v>
      </c>
      <c r="K88" s="1063">
        <f t="shared" si="9"/>
        <v>0</v>
      </c>
      <c r="L88" s="1063">
        <f t="shared" si="9"/>
        <v>0</v>
      </c>
      <c r="M88" s="1063">
        <f t="shared" si="9"/>
        <v>0</v>
      </c>
      <c r="N88" s="1063">
        <f t="shared" si="9"/>
        <v>0</v>
      </c>
      <c r="O88" s="1063">
        <f t="shared" si="9"/>
        <v>0</v>
      </c>
      <c r="P88" s="1063">
        <f t="shared" si="9"/>
        <v>0</v>
      </c>
      <c r="Q88" s="1063">
        <f t="shared" si="9"/>
        <v>0</v>
      </c>
      <c r="R88" s="1064">
        <f t="shared" si="3"/>
        <v>0</v>
      </c>
    </row>
    <row r="89" spans="1:19" s="77" customFormat="1" ht="31.2" x14ac:dyDescent="0.25">
      <c r="A89" s="90"/>
      <c r="B89" s="284" t="s">
        <v>164</v>
      </c>
      <c r="C89" s="440"/>
      <c r="D89" s="469"/>
      <c r="E89" s="465" t="s">
        <v>493</v>
      </c>
      <c r="F89" s="811">
        <f>F90</f>
        <v>129249758.8</v>
      </c>
      <c r="G89" s="833">
        <f t="shared" ref="G89:R89" si="10">G90</f>
        <v>129249758.8</v>
      </c>
      <c r="H89" s="811">
        <f t="shared" si="10"/>
        <v>82066817</v>
      </c>
      <c r="I89" s="811">
        <f t="shared" si="10"/>
        <v>16497662</v>
      </c>
      <c r="J89" s="811">
        <f t="shared" si="10"/>
        <v>0</v>
      </c>
      <c r="K89" s="1065">
        <f t="shared" si="10"/>
        <v>5471718.5300000003</v>
      </c>
      <c r="L89" s="1065">
        <f t="shared" si="10"/>
        <v>2157447.2000000002</v>
      </c>
      <c r="M89" s="1065">
        <f t="shared" si="10"/>
        <v>0</v>
      </c>
      <c r="N89" s="1065">
        <f t="shared" si="10"/>
        <v>2414854.5300000003</v>
      </c>
      <c r="O89" s="1065">
        <f t="shared" si="10"/>
        <v>0</v>
      </c>
      <c r="P89" s="1065">
        <f t="shared" si="10"/>
        <v>29100</v>
      </c>
      <c r="Q89" s="1065">
        <f t="shared" si="10"/>
        <v>3056864</v>
      </c>
      <c r="R89" s="1050">
        <f t="shared" si="10"/>
        <v>134721477.32999998</v>
      </c>
    </row>
    <row r="90" spans="1:19" s="77" customFormat="1" ht="31.8" thickBot="1" x14ac:dyDescent="0.3">
      <c r="A90" s="90"/>
      <c r="B90" s="433" t="s">
        <v>494</v>
      </c>
      <c r="C90" s="441"/>
      <c r="D90" s="470"/>
      <c r="E90" s="471" t="s">
        <v>493</v>
      </c>
      <c r="F90" s="1066">
        <f t="shared" ref="F90:K90" si="11">F99+F101+F107+F108+F109+F117+F110+F111+F113+F118+F123+F98+F104+F121+F129+F130+F114+F115+F112+F106+F125+F124+F103+F127+F119+F120+F128+F126</f>
        <v>129249758.8</v>
      </c>
      <c r="G90" s="1066">
        <f t="shared" si="11"/>
        <v>129249758.8</v>
      </c>
      <c r="H90" s="1066">
        <f t="shared" si="11"/>
        <v>82066817</v>
      </c>
      <c r="I90" s="1066">
        <f t="shared" si="11"/>
        <v>16497662</v>
      </c>
      <c r="J90" s="1066">
        <f t="shared" si="11"/>
        <v>0</v>
      </c>
      <c r="K90" s="1066">
        <f t="shared" si="11"/>
        <v>5471718.5300000003</v>
      </c>
      <c r="L90" s="1066">
        <f>L99+L101+L107+L108+L109+L117+L110+L111+L113+L118+L123+L98+L104+L121+L129+L130+L114+L115+L112+L106+L125+L124+L103+L127+L119+L120+L128+L126</f>
        <v>2157447.2000000002</v>
      </c>
      <c r="M90" s="1066">
        <f t="shared" ref="M90:R90" si="12">M99+M101+M107+M108+M109+M117+M110+M111+M113+M118+M123+M98+M104+M121+M129+M130+M114+M115+M112+M106+M125+M124+M103+M127+M119+M120+M128+M126</f>
        <v>0</v>
      </c>
      <c r="N90" s="1066">
        <f t="shared" si="12"/>
        <v>2414854.5300000003</v>
      </c>
      <c r="O90" s="1066">
        <f t="shared" si="12"/>
        <v>0</v>
      </c>
      <c r="P90" s="1066">
        <f t="shared" si="12"/>
        <v>29100</v>
      </c>
      <c r="Q90" s="1066">
        <f t="shared" si="12"/>
        <v>3056864</v>
      </c>
      <c r="R90" s="1066">
        <f t="shared" si="12"/>
        <v>134721477.32999998</v>
      </c>
      <c r="S90" s="117">
        <f>H90+O90</f>
        <v>82066817</v>
      </c>
    </row>
    <row r="91" spans="1:19" s="77" customFormat="1" ht="25.5" customHeight="1" x14ac:dyDescent="0.25">
      <c r="A91" s="90"/>
      <c r="B91" s="87"/>
      <c r="C91" s="437"/>
      <c r="D91" s="468"/>
      <c r="E91" s="463" t="s">
        <v>495</v>
      </c>
      <c r="F91" s="814">
        <f>G91+J91</f>
        <v>32669500</v>
      </c>
      <c r="G91" s="835">
        <f>G104</f>
        <v>32669500</v>
      </c>
      <c r="H91" s="835">
        <f>H104</f>
        <v>26778279</v>
      </c>
      <c r="I91" s="835">
        <f>I115</f>
        <v>0</v>
      </c>
      <c r="J91" s="835">
        <f>J115</f>
        <v>0</v>
      </c>
      <c r="K91" s="1067">
        <f>K115</f>
        <v>0</v>
      </c>
      <c r="L91" s="1067">
        <f t="shared" ref="L91:Q91" si="13">L115</f>
        <v>0</v>
      </c>
      <c r="M91" s="1067">
        <f t="shared" si="13"/>
        <v>0</v>
      </c>
      <c r="N91" s="1067">
        <f t="shared" si="13"/>
        <v>0</v>
      </c>
      <c r="O91" s="1067">
        <f t="shared" si="13"/>
        <v>0</v>
      </c>
      <c r="P91" s="1067">
        <f t="shared" si="13"/>
        <v>0</v>
      </c>
      <c r="Q91" s="1067">
        <f t="shared" si="13"/>
        <v>0</v>
      </c>
      <c r="R91" s="1068">
        <f t="shared" si="3"/>
        <v>32669500</v>
      </c>
      <c r="S91" s="77">
        <f>S90/R90*100</f>
        <v>60.915912315137035</v>
      </c>
    </row>
    <row r="92" spans="1:19" s="77" customFormat="1" ht="46.8" x14ac:dyDescent="0.25">
      <c r="A92" s="90"/>
      <c r="B92" s="91"/>
      <c r="C92" s="95"/>
      <c r="D92" s="96"/>
      <c r="E92" s="94" t="s">
        <v>496</v>
      </c>
      <c r="F92" s="815">
        <f>G92+J92</f>
        <v>906600</v>
      </c>
      <c r="G92" s="818">
        <f>G111</f>
        <v>906600</v>
      </c>
      <c r="H92" s="815">
        <f>H111</f>
        <v>743115</v>
      </c>
      <c r="I92" s="815">
        <f>I111</f>
        <v>0</v>
      </c>
      <c r="J92" s="816"/>
      <c r="K92" s="1057">
        <f t="shared" si="6"/>
        <v>0</v>
      </c>
      <c r="L92" s="1069"/>
      <c r="M92" s="1069">
        <f>M121</f>
        <v>0</v>
      </c>
      <c r="N92" s="1069">
        <f>N121</f>
        <v>0</v>
      </c>
      <c r="O92" s="1069">
        <f>O121</f>
        <v>0</v>
      </c>
      <c r="P92" s="1069">
        <f>P121</f>
        <v>0</v>
      </c>
      <c r="Q92" s="1069"/>
      <c r="R92" s="1027">
        <f t="shared" si="3"/>
        <v>906600</v>
      </c>
    </row>
    <row r="93" spans="1:19" s="77" customFormat="1" ht="15.6" x14ac:dyDescent="0.25">
      <c r="A93" s="90"/>
      <c r="B93" s="91"/>
      <c r="C93" s="95"/>
      <c r="D93" s="96"/>
      <c r="E93" s="94" t="s">
        <v>49</v>
      </c>
      <c r="F93" s="815">
        <f>F128+F120</f>
        <v>2788900</v>
      </c>
      <c r="G93" s="815">
        <f>G128+G120</f>
        <v>2788900</v>
      </c>
      <c r="H93" s="815">
        <f>H128+H120</f>
        <v>2285984</v>
      </c>
      <c r="I93" s="815">
        <f t="shared" ref="I93:R93" si="14">I128+I120</f>
        <v>0</v>
      </c>
      <c r="J93" s="815">
        <f t="shared" si="14"/>
        <v>0</v>
      </c>
      <c r="K93" s="815">
        <f t="shared" si="14"/>
        <v>1014400</v>
      </c>
      <c r="L93" s="815">
        <f t="shared" si="14"/>
        <v>1014400</v>
      </c>
      <c r="M93" s="815">
        <f t="shared" si="14"/>
        <v>0</v>
      </c>
      <c r="N93" s="815">
        <f t="shared" si="14"/>
        <v>0</v>
      </c>
      <c r="O93" s="815">
        <f t="shared" si="14"/>
        <v>0</v>
      </c>
      <c r="P93" s="815">
        <f t="shared" si="14"/>
        <v>0</v>
      </c>
      <c r="Q93" s="815">
        <f t="shared" si="14"/>
        <v>1014400</v>
      </c>
      <c r="R93" s="1253">
        <f t="shared" si="14"/>
        <v>3803300</v>
      </c>
    </row>
    <row r="94" spans="1:19" s="77" customFormat="1" ht="35.4" customHeight="1" x14ac:dyDescent="0.25">
      <c r="A94" s="90"/>
      <c r="B94" s="91"/>
      <c r="C94" s="95"/>
      <c r="D94" s="96"/>
      <c r="E94" s="94" t="s">
        <v>1169</v>
      </c>
      <c r="F94" s="824">
        <f>F118+F127</f>
        <v>0</v>
      </c>
      <c r="G94" s="821">
        <f>G118+G127</f>
        <v>0</v>
      </c>
      <c r="H94" s="824">
        <f t="shared" ref="H94:R94" si="15">H118+H127</f>
        <v>0</v>
      </c>
      <c r="I94" s="824">
        <f t="shared" si="15"/>
        <v>0</v>
      </c>
      <c r="J94" s="824">
        <f t="shared" si="15"/>
        <v>0</v>
      </c>
      <c r="K94" s="1069">
        <f t="shared" si="15"/>
        <v>1387900</v>
      </c>
      <c r="L94" s="1069">
        <f t="shared" si="15"/>
        <v>0</v>
      </c>
      <c r="M94" s="1069">
        <f t="shared" si="15"/>
        <v>0</v>
      </c>
      <c r="N94" s="1069">
        <f t="shared" si="15"/>
        <v>1387900</v>
      </c>
      <c r="O94" s="1069">
        <f t="shared" si="15"/>
        <v>0</v>
      </c>
      <c r="P94" s="1069">
        <f t="shared" si="15"/>
        <v>0</v>
      </c>
      <c r="Q94" s="1069">
        <f t="shared" si="15"/>
        <v>0</v>
      </c>
      <c r="R94" s="1027">
        <f t="shared" si="15"/>
        <v>1387900</v>
      </c>
    </row>
    <row r="95" spans="1:19" s="77" customFormat="1" ht="63" customHeight="1" x14ac:dyDescent="0.25">
      <c r="A95" s="90"/>
      <c r="B95" s="91"/>
      <c r="C95" s="95"/>
      <c r="D95" s="96"/>
      <c r="E95" s="94" t="s">
        <v>497</v>
      </c>
      <c r="F95" s="815">
        <f>G95+J95</f>
        <v>188100</v>
      </c>
      <c r="G95" s="818">
        <f>G121</f>
        <v>188100</v>
      </c>
      <c r="H95" s="815">
        <f>H121</f>
        <v>154180</v>
      </c>
      <c r="I95" s="815">
        <f t="shared" ref="I95:Q95" si="16">I121</f>
        <v>0</v>
      </c>
      <c r="J95" s="815">
        <f t="shared" si="16"/>
        <v>0</v>
      </c>
      <c r="K95" s="1069">
        <f t="shared" si="16"/>
        <v>0</v>
      </c>
      <c r="L95" s="1069">
        <f t="shared" si="16"/>
        <v>0</v>
      </c>
      <c r="M95" s="1069">
        <f t="shared" si="16"/>
        <v>0</v>
      </c>
      <c r="N95" s="1069">
        <f t="shared" si="16"/>
        <v>0</v>
      </c>
      <c r="O95" s="1069">
        <f t="shared" si="16"/>
        <v>0</v>
      </c>
      <c r="P95" s="1069">
        <f t="shared" si="16"/>
        <v>0</v>
      </c>
      <c r="Q95" s="1069">
        <f t="shared" si="16"/>
        <v>0</v>
      </c>
      <c r="R95" s="1027">
        <f t="shared" si="3"/>
        <v>188100</v>
      </c>
    </row>
    <row r="96" spans="1:19" s="77" customFormat="1" ht="36" customHeight="1" x14ac:dyDescent="0.25">
      <c r="A96" s="90"/>
      <c r="B96" s="91"/>
      <c r="C96" s="118"/>
      <c r="D96" s="119"/>
      <c r="E96" s="94" t="s">
        <v>857</v>
      </c>
      <c r="F96" s="815">
        <f>F125+F123</f>
        <v>0</v>
      </c>
      <c r="G96" s="818">
        <f t="shared" ref="G96:R96" si="17">G125+G123</f>
        <v>0</v>
      </c>
      <c r="H96" s="815">
        <f t="shared" si="17"/>
        <v>0</v>
      </c>
      <c r="I96" s="815">
        <f t="shared" si="17"/>
        <v>0</v>
      </c>
      <c r="J96" s="815">
        <f t="shared" si="17"/>
        <v>0</v>
      </c>
      <c r="K96" s="325">
        <f t="shared" si="17"/>
        <v>1269793.33</v>
      </c>
      <c r="L96" s="325">
        <f t="shared" si="17"/>
        <v>0</v>
      </c>
      <c r="M96" s="325">
        <f t="shared" si="17"/>
        <v>0</v>
      </c>
      <c r="N96" s="325">
        <f t="shared" si="17"/>
        <v>370376.53</v>
      </c>
      <c r="O96" s="325">
        <f t="shared" si="17"/>
        <v>0</v>
      </c>
      <c r="P96" s="325">
        <f t="shared" si="17"/>
        <v>0</v>
      </c>
      <c r="Q96" s="325">
        <f t="shared" si="17"/>
        <v>899416.8</v>
      </c>
      <c r="R96" s="1082">
        <f t="shared" si="17"/>
        <v>1269793.33</v>
      </c>
    </row>
    <row r="97" spans="1:18" s="77" customFormat="1" ht="21" customHeight="1" x14ac:dyDescent="0.25">
      <c r="A97" s="90"/>
      <c r="B97" s="91"/>
      <c r="C97" s="118"/>
      <c r="D97" s="119"/>
      <c r="E97" s="125" t="s">
        <v>1086</v>
      </c>
      <c r="F97" s="821">
        <f>G97+J97</f>
        <v>1106300</v>
      </c>
      <c r="G97" s="821">
        <f>G102</f>
        <v>1106300</v>
      </c>
      <c r="H97" s="821">
        <f t="shared" ref="H97:R97" si="18">H102</f>
        <v>906803</v>
      </c>
      <c r="I97" s="821">
        <f t="shared" si="18"/>
        <v>0</v>
      </c>
      <c r="J97" s="822">
        <f t="shared" si="18"/>
        <v>0</v>
      </c>
      <c r="K97" s="1048">
        <f t="shared" si="18"/>
        <v>0</v>
      </c>
      <c r="L97" s="1048">
        <f t="shared" si="18"/>
        <v>0</v>
      </c>
      <c r="M97" s="1048">
        <f t="shared" si="18"/>
        <v>0</v>
      </c>
      <c r="N97" s="1048">
        <f t="shared" si="18"/>
        <v>0</v>
      </c>
      <c r="O97" s="1048">
        <f t="shared" si="18"/>
        <v>0</v>
      </c>
      <c r="P97" s="1048">
        <f t="shared" si="18"/>
        <v>0</v>
      </c>
      <c r="Q97" s="1048">
        <f t="shared" si="18"/>
        <v>0</v>
      </c>
      <c r="R97" s="1074">
        <f t="shared" si="18"/>
        <v>1106300</v>
      </c>
    </row>
    <row r="98" spans="1:18" s="77" customFormat="1" ht="35.25" customHeight="1" x14ac:dyDescent="0.25">
      <c r="A98" s="90"/>
      <c r="B98" s="107" t="s">
        <v>498</v>
      </c>
      <c r="C98" s="118" t="s">
        <v>44</v>
      </c>
      <c r="D98" s="119" t="s">
        <v>43</v>
      </c>
      <c r="E98" s="120" t="s">
        <v>580</v>
      </c>
      <c r="F98" s="815">
        <f t="shared" ref="F98:F113" si="19">G98+J98</f>
        <v>1020389</v>
      </c>
      <c r="G98" s="820">
        <v>1020389</v>
      </c>
      <c r="H98" s="816">
        <v>759128</v>
      </c>
      <c r="I98" s="816">
        <v>37453</v>
      </c>
      <c r="J98" s="815"/>
      <c r="K98" s="1057">
        <f t="shared" si="6"/>
        <v>0</v>
      </c>
      <c r="L98" s="1069"/>
      <c r="M98" s="1069"/>
      <c r="N98" s="1069"/>
      <c r="O98" s="1069"/>
      <c r="P98" s="1069"/>
      <c r="Q98" s="1069"/>
      <c r="R98" s="1027">
        <f t="shared" si="3"/>
        <v>1020389</v>
      </c>
    </row>
    <row r="99" spans="1:18" s="77" customFormat="1" ht="15.6" x14ac:dyDescent="0.25">
      <c r="A99" s="90"/>
      <c r="B99" s="107" t="s">
        <v>162</v>
      </c>
      <c r="C99" s="95" t="s">
        <v>78</v>
      </c>
      <c r="D99" s="96" t="s">
        <v>161</v>
      </c>
      <c r="E99" s="94" t="s">
        <v>499</v>
      </c>
      <c r="F99" s="815">
        <f t="shared" si="19"/>
        <v>36479793</v>
      </c>
      <c r="G99" s="820">
        <f>34465250+30132-12000+1982399+14012</f>
        <v>36479793</v>
      </c>
      <c r="H99" s="816">
        <f>22699111+1360656</f>
        <v>24059767</v>
      </c>
      <c r="I99" s="816">
        <v>3731127</v>
      </c>
      <c r="J99" s="816"/>
      <c r="K99" s="1057">
        <f t="shared" si="6"/>
        <v>516492</v>
      </c>
      <c r="L99" s="1048"/>
      <c r="M99" s="1048"/>
      <c r="N99" s="1048">
        <v>516492</v>
      </c>
      <c r="O99" s="1048"/>
      <c r="P99" s="1048"/>
      <c r="Q99" s="1048"/>
      <c r="R99" s="1027">
        <f t="shared" si="3"/>
        <v>36996285</v>
      </c>
    </row>
    <row r="100" spans="1:18" s="77" customFormat="1" ht="47.25" hidden="1" customHeight="1" x14ac:dyDescent="0.25">
      <c r="A100" s="90"/>
      <c r="B100" s="107"/>
      <c r="C100" s="95"/>
      <c r="D100" s="96"/>
      <c r="E100" s="94" t="s">
        <v>497</v>
      </c>
      <c r="F100" s="815">
        <f>G100+J100</f>
        <v>0</v>
      </c>
      <c r="G100" s="830"/>
      <c r="H100" s="816"/>
      <c r="I100" s="816"/>
      <c r="J100" s="816"/>
      <c r="K100" s="1057">
        <f t="shared" si="6"/>
        <v>0</v>
      </c>
      <c r="L100" s="1048"/>
      <c r="M100" s="1048"/>
      <c r="N100" s="1048"/>
      <c r="O100" s="1048"/>
      <c r="P100" s="1048"/>
      <c r="Q100" s="1048"/>
      <c r="R100" s="1027">
        <f t="shared" si="3"/>
        <v>0</v>
      </c>
    </row>
    <row r="101" spans="1:18" s="77" customFormat="1" ht="31.2" x14ac:dyDescent="0.25">
      <c r="A101" s="90"/>
      <c r="B101" s="107" t="s">
        <v>158</v>
      </c>
      <c r="C101" s="95" t="s">
        <v>157</v>
      </c>
      <c r="D101" s="96" t="s">
        <v>153</v>
      </c>
      <c r="E101" s="94" t="s">
        <v>611</v>
      </c>
      <c r="F101" s="815">
        <f t="shared" si="19"/>
        <v>35256411</v>
      </c>
      <c r="G101" s="822">
        <f>35616039+306382-241685+7520-457698+25853</f>
        <v>35256411</v>
      </c>
      <c r="H101" s="822">
        <v>15142920</v>
      </c>
      <c r="I101" s="820">
        <f>11178798+306382-423122</f>
        <v>11062058</v>
      </c>
      <c r="J101" s="816"/>
      <c r="K101" s="1057">
        <f t="shared" si="6"/>
        <v>165318</v>
      </c>
      <c r="L101" s="1048">
        <f>30000+35000+11000</f>
        <v>76000</v>
      </c>
      <c r="M101" s="1048"/>
      <c r="N101" s="1048">
        <v>89318</v>
      </c>
      <c r="O101" s="1048"/>
      <c r="P101" s="1048">
        <v>26700</v>
      </c>
      <c r="Q101" s="1048">
        <f>30000+35000+11000</f>
        <v>76000</v>
      </c>
      <c r="R101" s="1027">
        <f t="shared" si="3"/>
        <v>35421729</v>
      </c>
    </row>
    <row r="102" spans="1:18" s="77" customFormat="1" ht="15.6" x14ac:dyDescent="0.25">
      <c r="A102" s="90"/>
      <c r="B102" s="107"/>
      <c r="C102" s="95"/>
      <c r="D102" s="96"/>
      <c r="E102" s="125" t="s">
        <v>1086</v>
      </c>
      <c r="F102" s="821">
        <f t="shared" si="19"/>
        <v>1106300</v>
      </c>
      <c r="G102" s="822">
        <f>1037100+69200</f>
        <v>1106300</v>
      </c>
      <c r="H102" s="826">
        <v>906803</v>
      </c>
      <c r="I102" s="820"/>
      <c r="J102" s="816"/>
      <c r="K102" s="1057">
        <f t="shared" si="6"/>
        <v>0</v>
      </c>
      <c r="L102" s="1048"/>
      <c r="M102" s="1048"/>
      <c r="N102" s="1048"/>
      <c r="O102" s="1048"/>
      <c r="P102" s="1048"/>
      <c r="Q102" s="1048"/>
      <c r="R102" s="1027">
        <f t="shared" si="3"/>
        <v>1106300</v>
      </c>
    </row>
    <row r="103" spans="1:18" s="77" customFormat="1" ht="31.2" x14ac:dyDescent="0.25">
      <c r="A103" s="90"/>
      <c r="B103" s="107" t="s">
        <v>947</v>
      </c>
      <c r="C103" s="95" t="s">
        <v>948</v>
      </c>
      <c r="D103" s="95" t="s">
        <v>153</v>
      </c>
      <c r="E103" s="125" t="s">
        <v>949</v>
      </c>
      <c r="F103" s="815">
        <f t="shared" si="19"/>
        <v>6305753</v>
      </c>
      <c r="G103" s="822">
        <f>6255815+340940-173206-76000-41796</f>
        <v>6305753</v>
      </c>
      <c r="H103" s="826">
        <f>3284694-163934</f>
        <v>3120760</v>
      </c>
      <c r="I103" s="822">
        <v>942803</v>
      </c>
      <c r="J103" s="816"/>
      <c r="K103" s="1057">
        <f t="shared" si="6"/>
        <v>18400</v>
      </c>
      <c r="L103" s="1048"/>
      <c r="M103" s="1048"/>
      <c r="N103" s="1048">
        <v>18400</v>
      </c>
      <c r="O103" s="1048"/>
      <c r="P103" s="1048">
        <v>400</v>
      </c>
      <c r="Q103" s="1048"/>
      <c r="R103" s="1027">
        <f t="shared" si="3"/>
        <v>6324153</v>
      </c>
    </row>
    <row r="104" spans="1:18" s="77" customFormat="1" ht="31.2" x14ac:dyDescent="0.25">
      <c r="A104" s="90"/>
      <c r="B104" s="104" t="s">
        <v>500</v>
      </c>
      <c r="C104" s="719" t="s">
        <v>501</v>
      </c>
      <c r="D104" s="102" t="s">
        <v>153</v>
      </c>
      <c r="E104" s="105" t="s">
        <v>1087</v>
      </c>
      <c r="F104" s="818">
        <f t="shared" si="19"/>
        <v>32669500</v>
      </c>
      <c r="G104" s="830">
        <v>32669500</v>
      </c>
      <c r="H104" s="826">
        <v>26778279</v>
      </c>
      <c r="I104" s="820"/>
      <c r="J104" s="816"/>
      <c r="K104" s="1057">
        <f t="shared" si="6"/>
        <v>0</v>
      </c>
      <c r="L104" s="1048"/>
      <c r="M104" s="1048"/>
      <c r="N104" s="1048"/>
      <c r="O104" s="1048"/>
      <c r="P104" s="1048"/>
      <c r="Q104" s="1048"/>
      <c r="R104" s="1027">
        <f t="shared" si="3"/>
        <v>32669500</v>
      </c>
    </row>
    <row r="105" spans="1:18" s="77" customFormat="1" ht="63" hidden="1" customHeight="1" x14ac:dyDescent="0.25">
      <c r="A105" s="90"/>
      <c r="B105" s="107"/>
      <c r="C105" s="95"/>
      <c r="D105" s="96"/>
      <c r="E105" s="94" t="s">
        <v>497</v>
      </c>
      <c r="F105" s="815">
        <f t="shared" si="19"/>
        <v>0</v>
      </c>
      <c r="G105" s="830"/>
      <c r="H105" s="820"/>
      <c r="I105" s="820"/>
      <c r="J105" s="816"/>
      <c r="K105" s="1057">
        <f t="shared" si="6"/>
        <v>0</v>
      </c>
      <c r="L105" s="1048"/>
      <c r="M105" s="1048"/>
      <c r="N105" s="1048"/>
      <c r="O105" s="1048"/>
      <c r="P105" s="1048"/>
      <c r="Q105" s="1048"/>
      <c r="R105" s="1027">
        <f t="shared" si="3"/>
        <v>0</v>
      </c>
    </row>
    <row r="106" spans="1:18" s="77" customFormat="1" ht="31.5" hidden="1" customHeight="1" x14ac:dyDescent="0.25">
      <c r="A106" s="90"/>
      <c r="B106" s="104" t="s">
        <v>155</v>
      </c>
      <c r="C106" s="719" t="s">
        <v>154</v>
      </c>
      <c r="D106" s="102" t="s">
        <v>153</v>
      </c>
      <c r="E106" s="105" t="s">
        <v>152</v>
      </c>
      <c r="F106" s="815">
        <f t="shared" si="19"/>
        <v>0</v>
      </c>
      <c r="G106" s="830"/>
      <c r="H106" s="820"/>
      <c r="I106" s="820"/>
      <c r="J106" s="816"/>
      <c r="K106" s="1057">
        <f t="shared" si="6"/>
        <v>0</v>
      </c>
      <c r="L106" s="317"/>
      <c r="M106" s="1048"/>
      <c r="N106" s="1048"/>
      <c r="O106" s="1048"/>
      <c r="P106" s="1048"/>
      <c r="Q106" s="1048"/>
      <c r="R106" s="1027">
        <f t="shared" si="3"/>
        <v>0</v>
      </c>
    </row>
    <row r="107" spans="1:18" s="77" customFormat="1" ht="30.75" customHeight="1" x14ac:dyDescent="0.25">
      <c r="A107" s="90"/>
      <c r="B107" s="107" t="s">
        <v>151</v>
      </c>
      <c r="C107" s="95" t="s">
        <v>95</v>
      </c>
      <c r="D107" s="96" t="s">
        <v>39</v>
      </c>
      <c r="E107" s="94" t="s">
        <v>150</v>
      </c>
      <c r="F107" s="815">
        <f t="shared" si="19"/>
        <v>6667510</v>
      </c>
      <c r="G107" s="820">
        <f>6730906+3000-83327+15000+1931</f>
        <v>6667510</v>
      </c>
      <c r="H107" s="820">
        <f>4934168-163934</f>
        <v>4770234</v>
      </c>
      <c r="I107" s="820">
        <v>550036</v>
      </c>
      <c r="J107" s="816"/>
      <c r="K107" s="1057">
        <f t="shared" si="6"/>
        <v>32368</v>
      </c>
      <c r="L107" s="1048"/>
      <c r="M107" s="1048"/>
      <c r="N107" s="1048">
        <v>32368</v>
      </c>
      <c r="O107" s="1048"/>
      <c r="P107" s="1048">
        <v>2000</v>
      </c>
      <c r="Q107" s="1048"/>
      <c r="R107" s="1027">
        <f t="shared" si="3"/>
        <v>6699878</v>
      </c>
    </row>
    <row r="108" spans="1:18" s="77" customFormat="1" ht="15.6" customHeight="1" x14ac:dyDescent="0.25">
      <c r="A108" s="90"/>
      <c r="B108" s="121" t="s">
        <v>149</v>
      </c>
      <c r="C108" s="98" t="s">
        <v>148</v>
      </c>
      <c r="D108" s="99" t="s">
        <v>126</v>
      </c>
      <c r="E108" s="100" t="s">
        <v>147</v>
      </c>
      <c r="F108" s="815">
        <f t="shared" si="19"/>
        <v>5028715</v>
      </c>
      <c r="G108" s="820">
        <f>3944715+14000+1106000-36000</f>
        <v>5028715</v>
      </c>
      <c r="H108" s="816">
        <f>2862803+877048</f>
        <v>3739851</v>
      </c>
      <c r="I108" s="816">
        <v>97381</v>
      </c>
      <c r="J108" s="816"/>
      <c r="K108" s="1057">
        <f t="shared" si="6"/>
        <v>36000</v>
      </c>
      <c r="L108" s="1048">
        <v>36000</v>
      </c>
      <c r="M108" s="1048"/>
      <c r="N108" s="1048"/>
      <c r="O108" s="1048"/>
      <c r="P108" s="1048"/>
      <c r="Q108" s="1048">
        <v>36000</v>
      </c>
      <c r="R108" s="1027">
        <f t="shared" si="3"/>
        <v>5064715</v>
      </c>
    </row>
    <row r="109" spans="1:18" s="77" customFormat="1" ht="15.6" customHeight="1" x14ac:dyDescent="0.25">
      <c r="A109" s="90"/>
      <c r="B109" s="121" t="s">
        <v>146</v>
      </c>
      <c r="C109" s="98" t="s">
        <v>145</v>
      </c>
      <c r="D109" s="99" t="s">
        <v>126</v>
      </c>
      <c r="E109" s="100" t="s">
        <v>144</v>
      </c>
      <c r="F109" s="815">
        <f t="shared" si="19"/>
        <v>1117760</v>
      </c>
      <c r="G109" s="820">
        <f>424142+693618</f>
        <v>1117760</v>
      </c>
      <c r="H109" s="818"/>
      <c r="I109" s="818"/>
      <c r="J109" s="818"/>
      <c r="K109" s="1057">
        <f t="shared" si="6"/>
        <v>0</v>
      </c>
      <c r="L109" s="1057"/>
      <c r="M109" s="1057"/>
      <c r="N109" s="1057"/>
      <c r="O109" s="1057"/>
      <c r="P109" s="1057"/>
      <c r="Q109" s="1057"/>
      <c r="R109" s="1027">
        <f t="shared" si="3"/>
        <v>1117760</v>
      </c>
    </row>
    <row r="110" spans="1:18" s="77" customFormat="1" ht="31.2" customHeight="1" x14ac:dyDescent="0.25">
      <c r="A110" s="90"/>
      <c r="B110" s="122" t="s">
        <v>502</v>
      </c>
      <c r="C110" s="98" t="s">
        <v>503</v>
      </c>
      <c r="D110" s="99" t="s">
        <v>126</v>
      </c>
      <c r="E110" s="100" t="s">
        <v>504</v>
      </c>
      <c r="F110" s="815">
        <f t="shared" si="19"/>
        <v>86417</v>
      </c>
      <c r="G110" s="820">
        <f>81017+5400</f>
        <v>86417</v>
      </c>
      <c r="H110" s="820"/>
      <c r="I110" s="820">
        <v>38717</v>
      </c>
      <c r="J110" s="820"/>
      <c r="K110" s="1057">
        <f t="shared" si="6"/>
        <v>0</v>
      </c>
      <c r="L110" s="1048"/>
      <c r="M110" s="1048"/>
      <c r="N110" s="1048"/>
      <c r="O110" s="1048"/>
      <c r="P110" s="1048"/>
      <c r="Q110" s="1048"/>
      <c r="R110" s="1027">
        <f t="shared" ref="R110:R130" si="20">F110+K110</f>
        <v>86417</v>
      </c>
    </row>
    <row r="111" spans="1:18" s="77" customFormat="1" ht="32.25" customHeight="1" x14ac:dyDescent="0.25">
      <c r="A111" s="90"/>
      <c r="B111" s="122" t="s">
        <v>505</v>
      </c>
      <c r="C111" s="98" t="s">
        <v>506</v>
      </c>
      <c r="D111" s="99" t="s">
        <v>126</v>
      </c>
      <c r="E111" s="123" t="s">
        <v>1088</v>
      </c>
      <c r="F111" s="818">
        <f t="shared" si="19"/>
        <v>906600</v>
      </c>
      <c r="G111" s="820">
        <v>906600</v>
      </c>
      <c r="H111" s="820">
        <v>743115</v>
      </c>
      <c r="I111" s="818"/>
      <c r="J111" s="820"/>
      <c r="K111" s="1057">
        <f t="shared" si="6"/>
        <v>0</v>
      </c>
      <c r="L111" s="1048"/>
      <c r="M111" s="1048"/>
      <c r="N111" s="1048"/>
      <c r="O111" s="1048"/>
      <c r="P111" s="1048"/>
      <c r="Q111" s="1048"/>
      <c r="R111" s="1027">
        <f t="shared" si="20"/>
        <v>906600</v>
      </c>
    </row>
    <row r="112" spans="1:18" s="77" customFormat="1" ht="78.75" hidden="1" customHeight="1" x14ac:dyDescent="0.25">
      <c r="A112" s="90"/>
      <c r="B112" s="122" t="s">
        <v>143</v>
      </c>
      <c r="C112" s="98" t="s">
        <v>142</v>
      </c>
      <c r="D112" s="99" t="s">
        <v>126</v>
      </c>
      <c r="E112" s="123" t="s">
        <v>141</v>
      </c>
      <c r="F112" s="815">
        <f t="shared" si="19"/>
        <v>0</v>
      </c>
      <c r="G112" s="820"/>
      <c r="H112" s="820"/>
      <c r="I112" s="818"/>
      <c r="J112" s="820"/>
      <c r="K112" s="1057">
        <f t="shared" si="6"/>
        <v>0</v>
      </c>
      <c r="L112" s="1048"/>
      <c r="M112" s="1048"/>
      <c r="N112" s="1048"/>
      <c r="O112" s="1048"/>
      <c r="P112" s="1048"/>
      <c r="Q112" s="1048"/>
      <c r="R112" s="1027">
        <f t="shared" si="20"/>
        <v>0</v>
      </c>
    </row>
    <row r="113" spans="1:18" s="77" customFormat="1" ht="36" customHeight="1" x14ac:dyDescent="0.25">
      <c r="A113" s="90"/>
      <c r="B113" s="122" t="s">
        <v>508</v>
      </c>
      <c r="C113" s="98" t="s">
        <v>509</v>
      </c>
      <c r="D113" s="99" t="s">
        <v>126</v>
      </c>
      <c r="E113" s="123" t="s">
        <v>510</v>
      </c>
      <c r="F113" s="815">
        <f t="shared" si="19"/>
        <v>692757</v>
      </c>
      <c r="G113" s="820">
        <f>880357-169200-18400</f>
        <v>692757</v>
      </c>
      <c r="H113" s="816">
        <f>651943-139344</f>
        <v>512599</v>
      </c>
      <c r="I113" s="820">
        <v>38087</v>
      </c>
      <c r="J113" s="820"/>
      <c r="K113" s="1057">
        <f t="shared" si="6"/>
        <v>18400</v>
      </c>
      <c r="L113" s="1048">
        <v>18400</v>
      </c>
      <c r="M113" s="1048"/>
      <c r="N113" s="1048"/>
      <c r="O113" s="1048"/>
      <c r="P113" s="1048"/>
      <c r="Q113" s="1048">
        <v>18400</v>
      </c>
      <c r="R113" s="1027">
        <f t="shared" si="20"/>
        <v>711157</v>
      </c>
    </row>
    <row r="114" spans="1:18" s="77" customFormat="1" ht="47.25" hidden="1" customHeight="1" x14ac:dyDescent="0.25">
      <c r="A114" s="90"/>
      <c r="B114" s="122" t="s">
        <v>140</v>
      </c>
      <c r="C114" s="98" t="s">
        <v>139</v>
      </c>
      <c r="D114" s="99" t="s">
        <v>126</v>
      </c>
      <c r="E114" s="123" t="s">
        <v>138</v>
      </c>
      <c r="F114" s="818"/>
      <c r="G114" s="820"/>
      <c r="H114" s="820"/>
      <c r="I114" s="820"/>
      <c r="J114" s="820"/>
      <c r="K114" s="1057">
        <f t="shared" si="6"/>
        <v>0</v>
      </c>
      <c r="L114" s="1048"/>
      <c r="M114" s="1048"/>
      <c r="N114" s="1048"/>
      <c r="O114" s="1048"/>
      <c r="P114" s="1048"/>
      <c r="Q114" s="1048"/>
      <c r="R114" s="1027">
        <f t="shared" si="20"/>
        <v>0</v>
      </c>
    </row>
    <row r="115" spans="1:18" s="77" customFormat="1" ht="47.25" hidden="1" customHeight="1" x14ac:dyDescent="0.25">
      <c r="A115" s="90"/>
      <c r="B115" s="122" t="s">
        <v>137</v>
      </c>
      <c r="C115" s="98" t="s">
        <v>136</v>
      </c>
      <c r="D115" s="99" t="s">
        <v>126</v>
      </c>
      <c r="E115" s="123" t="s">
        <v>135</v>
      </c>
      <c r="F115" s="818"/>
      <c r="G115" s="820"/>
      <c r="H115" s="820"/>
      <c r="I115" s="820"/>
      <c r="J115" s="820"/>
      <c r="K115" s="1057">
        <f t="shared" si="6"/>
        <v>0</v>
      </c>
      <c r="L115" s="1048"/>
      <c r="M115" s="1048"/>
      <c r="N115" s="1048"/>
      <c r="O115" s="1048"/>
      <c r="P115" s="1048"/>
      <c r="Q115" s="1048"/>
      <c r="R115" s="1027">
        <f t="shared" si="20"/>
        <v>0</v>
      </c>
    </row>
    <row r="116" spans="1:18" s="77" customFormat="1" ht="15.75" hidden="1" customHeight="1" x14ac:dyDescent="0.25">
      <c r="A116" s="90"/>
      <c r="B116" s="122"/>
      <c r="C116" s="98"/>
      <c r="D116" s="99"/>
      <c r="E116" s="123"/>
      <c r="F116" s="818"/>
      <c r="G116" s="820"/>
      <c r="H116" s="820"/>
      <c r="I116" s="820"/>
      <c r="J116" s="820"/>
      <c r="K116" s="1057"/>
      <c r="L116" s="1048"/>
      <c r="M116" s="1048"/>
      <c r="N116" s="1048"/>
      <c r="O116" s="1048"/>
      <c r="P116" s="1048"/>
      <c r="Q116" s="1048"/>
      <c r="R116" s="1027"/>
    </row>
    <row r="117" spans="1:18" s="77" customFormat="1" ht="63" hidden="1" customHeight="1" x14ac:dyDescent="0.25">
      <c r="A117" s="90"/>
      <c r="B117" s="122" t="s">
        <v>134</v>
      </c>
      <c r="C117" s="98" t="s">
        <v>133</v>
      </c>
      <c r="D117" s="99" t="s">
        <v>126</v>
      </c>
      <c r="E117" s="123" t="s">
        <v>132</v>
      </c>
      <c r="F117" s="818">
        <f t="shared" ref="F117:F130" si="21">G117+J117</f>
        <v>0</v>
      </c>
      <c r="G117" s="820"/>
      <c r="H117" s="816"/>
      <c r="I117" s="816"/>
      <c r="J117" s="816"/>
      <c r="K117" s="1057">
        <f t="shared" si="6"/>
        <v>0</v>
      </c>
      <c r="L117" s="1048"/>
      <c r="M117" s="1048"/>
      <c r="N117" s="1048"/>
      <c r="O117" s="1048"/>
      <c r="P117" s="1048"/>
      <c r="Q117" s="1048"/>
      <c r="R117" s="1027">
        <f t="shared" si="20"/>
        <v>0</v>
      </c>
    </row>
    <row r="118" spans="1:18" s="77" customFormat="1" ht="63" hidden="1" customHeight="1" x14ac:dyDescent="0.25">
      <c r="A118" s="90"/>
      <c r="B118" s="122" t="s">
        <v>511</v>
      </c>
      <c r="C118" s="98" t="s">
        <v>512</v>
      </c>
      <c r="D118" s="99" t="s">
        <v>126</v>
      </c>
      <c r="E118" s="123" t="s">
        <v>513</v>
      </c>
      <c r="F118" s="818">
        <f t="shared" si="21"/>
        <v>0</v>
      </c>
      <c r="G118" s="820"/>
      <c r="H118" s="820"/>
      <c r="I118" s="816"/>
      <c r="J118" s="816"/>
      <c r="K118" s="1057">
        <f t="shared" si="6"/>
        <v>0</v>
      </c>
      <c r="L118" s="1048"/>
      <c r="M118" s="1048"/>
      <c r="N118" s="1048"/>
      <c r="O118" s="1048"/>
      <c r="P118" s="1048"/>
      <c r="Q118" s="1048"/>
      <c r="R118" s="1027">
        <f t="shared" si="20"/>
        <v>0</v>
      </c>
    </row>
    <row r="119" spans="1:18" s="77" customFormat="1" ht="63" customHeight="1" x14ac:dyDescent="0.25">
      <c r="A119" s="90"/>
      <c r="B119" s="122" t="s">
        <v>1119</v>
      </c>
      <c r="C119" s="98" t="s">
        <v>1121</v>
      </c>
      <c r="D119" s="99" t="s">
        <v>126</v>
      </c>
      <c r="E119" s="306" t="s">
        <v>1118</v>
      </c>
      <c r="F119" s="1138">
        <f t="shared" si="21"/>
        <v>0</v>
      </c>
      <c r="G119" s="1048"/>
      <c r="H119" s="1048"/>
      <c r="I119" s="1048"/>
      <c r="J119" s="317"/>
      <c r="K119" s="1073">
        <f>N119+L119</f>
        <v>112712</v>
      </c>
      <c r="L119" s="1048">
        <v>112712</v>
      </c>
      <c r="M119" s="317"/>
      <c r="N119" s="317"/>
      <c r="O119" s="317"/>
      <c r="P119" s="317"/>
      <c r="Q119" s="1048">
        <v>112712</v>
      </c>
      <c r="R119" s="1082">
        <f t="shared" si="20"/>
        <v>112712</v>
      </c>
    </row>
    <row r="120" spans="1:18" s="77" customFormat="1" ht="63" customHeight="1" x14ac:dyDescent="0.25">
      <c r="A120" s="90"/>
      <c r="B120" s="122" t="s">
        <v>1120</v>
      </c>
      <c r="C120" s="98" t="s">
        <v>1122</v>
      </c>
      <c r="D120" s="99" t="s">
        <v>126</v>
      </c>
      <c r="E120" s="306" t="s">
        <v>1123</v>
      </c>
      <c r="F120" s="1138">
        <f t="shared" si="21"/>
        <v>0</v>
      </c>
      <c r="G120" s="1048"/>
      <c r="H120" s="1048"/>
      <c r="I120" s="1048"/>
      <c r="J120" s="317"/>
      <c r="K120" s="1073">
        <f>Q120+N120</f>
        <v>1014400</v>
      </c>
      <c r="L120" s="1048">
        <v>1014400</v>
      </c>
      <c r="M120" s="317"/>
      <c r="N120" s="317"/>
      <c r="O120" s="317"/>
      <c r="P120" s="317"/>
      <c r="Q120" s="1048">
        <v>1014400</v>
      </c>
      <c r="R120" s="1082">
        <f t="shared" si="20"/>
        <v>1014400</v>
      </c>
    </row>
    <row r="121" spans="1:18" s="77" customFormat="1" ht="62.4" x14ac:dyDescent="0.25">
      <c r="A121" s="90"/>
      <c r="B121" s="122" t="s">
        <v>131</v>
      </c>
      <c r="C121" s="98" t="s">
        <v>130</v>
      </c>
      <c r="D121" s="99" t="s">
        <v>126</v>
      </c>
      <c r="E121" s="123" t="s">
        <v>1184</v>
      </c>
      <c r="F121" s="827">
        <f t="shared" si="21"/>
        <v>188100</v>
      </c>
      <c r="G121" s="826">
        <v>188100</v>
      </c>
      <c r="H121" s="822">
        <v>154180</v>
      </c>
      <c r="I121" s="816"/>
      <c r="J121" s="816"/>
      <c r="K121" s="1057">
        <f>N121+L121</f>
        <v>0</v>
      </c>
      <c r="L121" s="1048"/>
      <c r="M121" s="1048"/>
      <c r="N121" s="1048"/>
      <c r="O121" s="1048"/>
      <c r="P121" s="1048"/>
      <c r="Q121" s="1048"/>
      <c r="R121" s="1027">
        <f t="shared" si="20"/>
        <v>188100</v>
      </c>
    </row>
    <row r="122" spans="1:18" s="77" customFormat="1" ht="47.25" hidden="1" customHeight="1" x14ac:dyDescent="0.25">
      <c r="A122" s="90"/>
      <c r="B122" s="122"/>
      <c r="C122" s="98"/>
      <c r="D122" s="99"/>
      <c r="E122" s="291" t="s">
        <v>497</v>
      </c>
      <c r="F122" s="827">
        <f t="shared" si="21"/>
        <v>0</v>
      </c>
      <c r="G122" s="826"/>
      <c r="H122" s="822"/>
      <c r="I122" s="816"/>
      <c r="J122" s="816"/>
      <c r="K122" s="1057"/>
      <c r="L122" s="1048"/>
      <c r="M122" s="1048"/>
      <c r="N122" s="1048"/>
      <c r="O122" s="1048"/>
      <c r="P122" s="1048"/>
      <c r="Q122" s="1048"/>
      <c r="R122" s="1027">
        <f t="shared" si="20"/>
        <v>0</v>
      </c>
    </row>
    <row r="123" spans="1:18" s="77" customFormat="1" ht="52.95" hidden="1" customHeight="1" x14ac:dyDescent="0.25">
      <c r="A123" s="90"/>
      <c r="B123" s="122" t="s">
        <v>128</v>
      </c>
      <c r="C123" s="98" t="s">
        <v>127</v>
      </c>
      <c r="D123" s="99" t="s">
        <v>126</v>
      </c>
      <c r="E123" s="123" t="s">
        <v>125</v>
      </c>
      <c r="F123" s="827">
        <f t="shared" si="21"/>
        <v>0</v>
      </c>
      <c r="G123" s="837"/>
      <c r="H123" s="838"/>
      <c r="I123" s="838"/>
      <c r="J123" s="816"/>
      <c r="K123" s="1057">
        <f>N123+L123</f>
        <v>0</v>
      </c>
      <c r="L123" s="1048"/>
      <c r="M123" s="1048"/>
      <c r="N123" s="1048"/>
      <c r="O123" s="1048"/>
      <c r="P123" s="1048"/>
      <c r="Q123" s="1048"/>
      <c r="R123" s="1027">
        <f t="shared" si="20"/>
        <v>0</v>
      </c>
    </row>
    <row r="124" spans="1:18" s="77" customFormat="1" ht="75" customHeight="1" x14ac:dyDescent="0.25">
      <c r="A124" s="90"/>
      <c r="B124" s="104" t="s">
        <v>858</v>
      </c>
      <c r="C124" s="719" t="s">
        <v>859</v>
      </c>
      <c r="D124" s="719" t="s">
        <v>126</v>
      </c>
      <c r="E124" s="249" t="s">
        <v>860</v>
      </c>
      <c r="F124" s="1073">
        <f t="shared" si="21"/>
        <v>41153.800000000003</v>
      </c>
      <c r="G124" s="1139">
        <f>42284-1130.2</f>
        <v>41153.800000000003</v>
      </c>
      <c r="H124" s="838"/>
      <c r="I124" s="838"/>
      <c r="J124" s="816"/>
      <c r="K124" s="1073">
        <f>Q124</f>
        <v>99935.2</v>
      </c>
      <c r="L124" s="1048">
        <f>98805+1130.2</f>
        <v>99935.2</v>
      </c>
      <c r="M124" s="1048"/>
      <c r="N124" s="1048"/>
      <c r="O124" s="1048"/>
      <c r="P124" s="1048"/>
      <c r="Q124" s="1048">
        <f>98805+1130.2</f>
        <v>99935.2</v>
      </c>
      <c r="R124" s="1027">
        <f t="shared" si="20"/>
        <v>141089</v>
      </c>
    </row>
    <row r="125" spans="1:18" s="77" customFormat="1" ht="78" customHeight="1" x14ac:dyDescent="0.25">
      <c r="A125" s="90"/>
      <c r="B125" s="104" t="s">
        <v>855</v>
      </c>
      <c r="C125" s="719" t="s">
        <v>854</v>
      </c>
      <c r="D125" s="719" t="s">
        <v>126</v>
      </c>
      <c r="E125" s="306" t="s">
        <v>856</v>
      </c>
      <c r="F125" s="827">
        <f t="shared" si="21"/>
        <v>0</v>
      </c>
      <c r="G125" s="826"/>
      <c r="H125" s="826"/>
      <c r="I125" s="838"/>
      <c r="J125" s="838"/>
      <c r="K125" s="1073">
        <f>Q125+N125</f>
        <v>1269793.33</v>
      </c>
      <c r="L125" s="317"/>
      <c r="M125" s="1048"/>
      <c r="N125" s="1048">
        <f>380550.33-10173.8</f>
        <v>370376.53</v>
      </c>
      <c r="O125" s="1048"/>
      <c r="P125" s="1048"/>
      <c r="Q125" s="317">
        <f>1269793.33-380550.33+10173.8</f>
        <v>899416.8</v>
      </c>
      <c r="R125" s="1027">
        <f t="shared" si="20"/>
        <v>1269793.33</v>
      </c>
    </row>
    <row r="126" spans="1:18" s="77" customFormat="1" ht="15.6" x14ac:dyDescent="0.25">
      <c r="A126" s="90"/>
      <c r="B126" s="104" t="s">
        <v>1384</v>
      </c>
      <c r="C126" s="719" t="s">
        <v>1399</v>
      </c>
      <c r="D126" s="719" t="s">
        <v>126</v>
      </c>
      <c r="E126" s="306" t="s">
        <v>1400</v>
      </c>
      <c r="F126" s="815">
        <f t="shared" si="21"/>
        <v>0</v>
      </c>
      <c r="G126" s="826"/>
      <c r="H126" s="826"/>
      <c r="I126" s="838"/>
      <c r="J126" s="838"/>
      <c r="K126" s="1073">
        <f>Q126+N126</f>
        <v>800000</v>
      </c>
      <c r="L126" s="1083">
        <v>800000</v>
      </c>
      <c r="M126" s="1070"/>
      <c r="N126" s="1048"/>
      <c r="O126" s="1070"/>
      <c r="P126" s="1070"/>
      <c r="Q126" s="1083">
        <v>800000</v>
      </c>
      <c r="R126" s="1027">
        <f t="shared" si="20"/>
        <v>800000</v>
      </c>
    </row>
    <row r="127" spans="1:18" s="77" customFormat="1" ht="78" customHeight="1" x14ac:dyDescent="0.25">
      <c r="A127" s="90"/>
      <c r="B127" s="104" t="s">
        <v>999</v>
      </c>
      <c r="C127" s="719" t="s">
        <v>998</v>
      </c>
      <c r="D127" s="719" t="s">
        <v>126</v>
      </c>
      <c r="E127" s="306" t="s">
        <v>997</v>
      </c>
      <c r="F127" s="815">
        <f t="shared" si="21"/>
        <v>0</v>
      </c>
      <c r="G127" s="837"/>
      <c r="H127" s="826"/>
      <c r="I127" s="838"/>
      <c r="J127" s="838"/>
      <c r="K127" s="1073">
        <f>Q127+N127</f>
        <v>1387900</v>
      </c>
      <c r="L127" s="1083"/>
      <c r="M127" s="1070"/>
      <c r="N127" s="317">
        <v>1387900</v>
      </c>
      <c r="O127" s="1070"/>
      <c r="P127" s="1070"/>
      <c r="Q127" s="317"/>
      <c r="R127" s="1027">
        <f t="shared" si="20"/>
        <v>1387900</v>
      </c>
    </row>
    <row r="128" spans="1:18" s="77" customFormat="1" ht="78" customHeight="1" thickBot="1" x14ac:dyDescent="0.3">
      <c r="A128" s="90"/>
      <c r="B128" s="326" t="s">
        <v>1113</v>
      </c>
      <c r="C128" s="719" t="s">
        <v>1114</v>
      </c>
      <c r="D128" s="719" t="s">
        <v>126</v>
      </c>
      <c r="E128" s="249" t="s">
        <v>1124</v>
      </c>
      <c r="F128" s="1138">
        <f t="shared" si="21"/>
        <v>2788900</v>
      </c>
      <c r="G128" s="1139">
        <v>2788900</v>
      </c>
      <c r="H128" s="317">
        <v>2285984</v>
      </c>
      <c r="I128" s="317"/>
      <c r="J128" s="317"/>
      <c r="K128" s="1073">
        <f>N128+L128</f>
        <v>0</v>
      </c>
      <c r="L128" s="317"/>
      <c r="M128" s="317"/>
      <c r="N128" s="317"/>
      <c r="O128" s="317"/>
      <c r="P128" s="317"/>
      <c r="Q128" s="317"/>
      <c r="R128" s="1084">
        <f t="shared" si="20"/>
        <v>2788900</v>
      </c>
    </row>
    <row r="129" spans="1:18" s="77" customFormat="1" ht="15.75" hidden="1" customHeight="1" x14ac:dyDescent="0.25">
      <c r="A129" s="90"/>
      <c r="B129" s="124" t="s">
        <v>123</v>
      </c>
      <c r="C129" s="95" t="s">
        <v>122</v>
      </c>
      <c r="D129" s="95" t="s">
        <v>21</v>
      </c>
      <c r="E129" s="125" t="s">
        <v>121</v>
      </c>
      <c r="F129" s="827">
        <f t="shared" si="21"/>
        <v>0</v>
      </c>
      <c r="G129" s="837"/>
      <c r="H129" s="838"/>
      <c r="I129" s="816"/>
      <c r="J129" s="816"/>
      <c r="K129" s="1057">
        <f>N129+L129</f>
        <v>0</v>
      </c>
      <c r="L129" s="1070"/>
      <c r="M129" s="1070"/>
      <c r="N129" s="1070"/>
      <c r="O129" s="1070"/>
      <c r="P129" s="1070"/>
      <c r="Q129" s="1070"/>
      <c r="R129" s="1027">
        <f t="shared" si="20"/>
        <v>0</v>
      </c>
    </row>
    <row r="130" spans="1:18" s="77" customFormat="1" ht="32.25" hidden="1" customHeight="1" thickBot="1" x14ac:dyDescent="0.3">
      <c r="A130" s="90"/>
      <c r="B130" s="472" t="s">
        <v>720</v>
      </c>
      <c r="C130" s="118" t="s">
        <v>194</v>
      </c>
      <c r="D130" s="118" t="s">
        <v>53</v>
      </c>
      <c r="E130" s="473" t="s">
        <v>52</v>
      </c>
      <c r="F130" s="839">
        <f t="shared" si="21"/>
        <v>0</v>
      </c>
      <c r="G130" s="840"/>
      <c r="H130" s="841"/>
      <c r="I130" s="829"/>
      <c r="J130" s="829"/>
      <c r="K130" s="1071">
        <f>N130+L130</f>
        <v>0</v>
      </c>
      <c r="L130" s="1070"/>
      <c r="M130" s="1070"/>
      <c r="N130" s="1070"/>
      <c r="O130" s="1070"/>
      <c r="P130" s="1070"/>
      <c r="Q130" s="1070"/>
      <c r="R130" s="1064">
        <f t="shared" si="20"/>
        <v>0</v>
      </c>
    </row>
    <row r="131" spans="1:18" s="77" customFormat="1" ht="31.2" x14ac:dyDescent="0.25">
      <c r="A131" s="90"/>
      <c r="B131" s="450" t="s">
        <v>119</v>
      </c>
      <c r="C131" s="371"/>
      <c r="D131" s="477"/>
      <c r="E131" s="478" t="s">
        <v>118</v>
      </c>
      <c r="F131" s="842">
        <f>F132</f>
        <v>38194439</v>
      </c>
      <c r="G131" s="842">
        <f t="shared" ref="G131:R131" si="22">G132</f>
        <v>38194439</v>
      </c>
      <c r="H131" s="842">
        <f t="shared" si="22"/>
        <v>12680289</v>
      </c>
      <c r="I131" s="842">
        <f t="shared" si="22"/>
        <v>918427</v>
      </c>
      <c r="J131" s="842">
        <f t="shared" si="22"/>
        <v>0</v>
      </c>
      <c r="K131" s="1049">
        <f t="shared" si="22"/>
        <v>64429180</v>
      </c>
      <c r="L131" s="1049">
        <f t="shared" si="22"/>
        <v>12541355</v>
      </c>
      <c r="M131" s="1049">
        <f t="shared" si="22"/>
        <v>0</v>
      </c>
      <c r="N131" s="1049">
        <f t="shared" si="22"/>
        <v>0</v>
      </c>
      <c r="O131" s="1049">
        <f t="shared" si="22"/>
        <v>0</v>
      </c>
      <c r="P131" s="1049">
        <f t="shared" si="22"/>
        <v>0</v>
      </c>
      <c r="Q131" s="1049">
        <f t="shared" si="22"/>
        <v>64429180</v>
      </c>
      <c r="R131" s="1072">
        <f t="shared" si="22"/>
        <v>102623619</v>
      </c>
    </row>
    <row r="132" spans="1:18" s="77" customFormat="1" ht="33" customHeight="1" thickBot="1" x14ac:dyDescent="0.3">
      <c r="A132" s="90"/>
      <c r="B132" s="453" t="s">
        <v>514</v>
      </c>
      <c r="C132" s="454"/>
      <c r="D132" s="479"/>
      <c r="E132" s="480" t="s">
        <v>118</v>
      </c>
      <c r="F132" s="843">
        <f>F137+F139+F141+F143+F146+F147+F149+F151+F152+F153+F154+F157+F158+F159+F162+F163+F165+F155</f>
        <v>38194439</v>
      </c>
      <c r="G132" s="843">
        <f>G137+G139+G141+G143+G146+G147+G149+G151+G152+G153+G154+G157+G158+G159+G162+G163+G165+G155</f>
        <v>38194439</v>
      </c>
      <c r="H132" s="843">
        <f t="shared" ref="H132:R132" si="23">H137+H139+H141+H143+H146+H147+H149+H151+H152+H153+H154+H157+H158+H159+H162+H163+H165+H155</f>
        <v>12680289</v>
      </c>
      <c r="I132" s="843">
        <f t="shared" si="23"/>
        <v>918427</v>
      </c>
      <c r="J132" s="843">
        <f t="shared" si="23"/>
        <v>0</v>
      </c>
      <c r="K132" s="843">
        <f t="shared" si="23"/>
        <v>64429180</v>
      </c>
      <c r="L132" s="843">
        <f t="shared" si="23"/>
        <v>12541355</v>
      </c>
      <c r="M132" s="843">
        <f t="shared" si="23"/>
        <v>0</v>
      </c>
      <c r="N132" s="843">
        <f t="shared" si="23"/>
        <v>0</v>
      </c>
      <c r="O132" s="843">
        <f t="shared" si="23"/>
        <v>0</v>
      </c>
      <c r="P132" s="843">
        <f t="shared" si="23"/>
        <v>0</v>
      </c>
      <c r="Q132" s="843">
        <f t="shared" si="23"/>
        <v>64429180</v>
      </c>
      <c r="R132" s="1254">
        <f t="shared" si="23"/>
        <v>102623619</v>
      </c>
    </row>
    <row r="133" spans="1:18" s="77" customFormat="1" ht="27" customHeight="1" x14ac:dyDescent="0.25">
      <c r="A133" s="90"/>
      <c r="B133" s="448"/>
      <c r="C133" s="474"/>
      <c r="D133" s="475"/>
      <c r="E133" s="476" t="s">
        <v>49</v>
      </c>
      <c r="F133" s="836">
        <f>F166</f>
        <v>0</v>
      </c>
      <c r="G133" s="836">
        <f>G166</f>
        <v>0</v>
      </c>
      <c r="H133" s="836">
        <f>H166</f>
        <v>0</v>
      </c>
      <c r="I133" s="836">
        <f>I166</f>
        <v>0</v>
      </c>
      <c r="J133" s="836">
        <f>J166</f>
        <v>0</v>
      </c>
      <c r="K133" s="1067">
        <f>K166+K157</f>
        <v>51887825</v>
      </c>
      <c r="L133" s="1067">
        <f t="shared" ref="L133:R133" si="24">L166+L157</f>
        <v>0</v>
      </c>
      <c r="M133" s="1067">
        <f t="shared" si="24"/>
        <v>0</v>
      </c>
      <c r="N133" s="1067">
        <f t="shared" si="24"/>
        <v>0</v>
      </c>
      <c r="O133" s="1067">
        <f t="shared" si="24"/>
        <v>0</v>
      </c>
      <c r="P133" s="1067">
        <f t="shared" si="24"/>
        <v>0</v>
      </c>
      <c r="Q133" s="1067">
        <f t="shared" si="24"/>
        <v>51887825</v>
      </c>
      <c r="R133" s="1255">
        <f t="shared" si="24"/>
        <v>51887825</v>
      </c>
    </row>
    <row r="134" spans="1:18" s="77" customFormat="1" ht="21" customHeight="1" x14ac:dyDescent="0.25">
      <c r="A134" s="90"/>
      <c r="B134" s="104"/>
      <c r="C134" s="126"/>
      <c r="D134" s="127"/>
      <c r="E134" s="106" t="s">
        <v>105</v>
      </c>
      <c r="F134" s="815">
        <f t="shared" ref="F134:F162" si="25">G134+J134</f>
        <v>5958122</v>
      </c>
      <c r="G134" s="827">
        <f>G140+G142+G164+G156</f>
        <v>5958122</v>
      </c>
      <c r="H134" s="827">
        <f t="shared" ref="H134:Q134" si="26">H140+H142+H164+H156</f>
        <v>619552</v>
      </c>
      <c r="I134" s="827">
        <f t="shared" si="26"/>
        <v>0</v>
      </c>
      <c r="J134" s="827">
        <f t="shared" si="26"/>
        <v>0</v>
      </c>
      <c r="K134" s="827">
        <f t="shared" si="26"/>
        <v>372520</v>
      </c>
      <c r="L134" s="827">
        <f t="shared" si="26"/>
        <v>372520</v>
      </c>
      <c r="M134" s="827">
        <f t="shared" si="26"/>
        <v>0</v>
      </c>
      <c r="N134" s="827">
        <f t="shared" si="26"/>
        <v>0</v>
      </c>
      <c r="O134" s="827">
        <f t="shared" si="26"/>
        <v>0</v>
      </c>
      <c r="P134" s="827">
        <f t="shared" si="26"/>
        <v>0</v>
      </c>
      <c r="Q134" s="827">
        <f t="shared" si="26"/>
        <v>372520</v>
      </c>
      <c r="R134" s="1027">
        <f t="shared" ref="R134:R166" si="27">F134+K134</f>
        <v>6330642</v>
      </c>
    </row>
    <row r="135" spans="1:18" s="77" customFormat="1" ht="15.6" x14ac:dyDescent="0.25">
      <c r="A135" s="90"/>
      <c r="B135" s="104"/>
      <c r="C135" s="126"/>
      <c r="D135" s="127"/>
      <c r="E135" s="420" t="s">
        <v>1167</v>
      </c>
      <c r="F135" s="815">
        <f>F138+F161</f>
        <v>540017</v>
      </c>
      <c r="G135" s="815">
        <f t="shared" ref="G135:R135" si="28">G138+G161</f>
        <v>540017</v>
      </c>
      <c r="H135" s="815">
        <f t="shared" si="28"/>
        <v>375798</v>
      </c>
      <c r="I135" s="815">
        <f t="shared" si="28"/>
        <v>81543</v>
      </c>
      <c r="J135" s="815">
        <f t="shared" si="28"/>
        <v>0</v>
      </c>
      <c r="K135" s="815">
        <f t="shared" si="28"/>
        <v>0</v>
      </c>
      <c r="L135" s="815">
        <f t="shared" si="28"/>
        <v>0</v>
      </c>
      <c r="M135" s="815">
        <f t="shared" si="28"/>
        <v>0</v>
      </c>
      <c r="N135" s="815">
        <f t="shared" si="28"/>
        <v>0</v>
      </c>
      <c r="O135" s="815">
        <f t="shared" si="28"/>
        <v>0</v>
      </c>
      <c r="P135" s="815">
        <f t="shared" si="28"/>
        <v>0</v>
      </c>
      <c r="Q135" s="815">
        <f t="shared" si="28"/>
        <v>0</v>
      </c>
      <c r="R135" s="1253">
        <f t="shared" si="28"/>
        <v>540017</v>
      </c>
    </row>
    <row r="136" spans="1:18" s="77" customFormat="1" ht="21" customHeight="1" x14ac:dyDescent="0.25">
      <c r="A136" s="90"/>
      <c r="B136" s="104"/>
      <c r="C136" s="126"/>
      <c r="D136" s="127"/>
      <c r="E136" s="420" t="s">
        <v>711</v>
      </c>
      <c r="F136" s="827">
        <f>F160</f>
        <v>298539</v>
      </c>
      <c r="G136" s="827">
        <f>G160</f>
        <v>298539</v>
      </c>
      <c r="H136" s="827">
        <f>H160</f>
        <v>0</v>
      </c>
      <c r="I136" s="827">
        <f t="shared" ref="I136:R136" si="29">I160</f>
        <v>144545</v>
      </c>
      <c r="J136" s="827">
        <f t="shared" si="29"/>
        <v>0</v>
      </c>
      <c r="K136" s="1073">
        <f t="shared" si="29"/>
        <v>0</v>
      </c>
      <c r="L136" s="1073">
        <f t="shared" si="29"/>
        <v>0</v>
      </c>
      <c r="M136" s="1073">
        <f t="shared" si="29"/>
        <v>0</v>
      </c>
      <c r="N136" s="1073">
        <f t="shared" si="29"/>
        <v>0</v>
      </c>
      <c r="O136" s="1073">
        <f t="shared" si="29"/>
        <v>0</v>
      </c>
      <c r="P136" s="1073">
        <f t="shared" si="29"/>
        <v>0</v>
      </c>
      <c r="Q136" s="1073">
        <f t="shared" si="29"/>
        <v>0</v>
      </c>
      <c r="R136" s="1256">
        <f t="shared" si="29"/>
        <v>298539</v>
      </c>
    </row>
    <row r="137" spans="1:18" s="77" customFormat="1" ht="35.25" customHeight="1" x14ac:dyDescent="0.25">
      <c r="A137" s="90"/>
      <c r="B137" s="107" t="s">
        <v>515</v>
      </c>
      <c r="C137" s="118" t="s">
        <v>44</v>
      </c>
      <c r="D137" s="119" t="s">
        <v>43</v>
      </c>
      <c r="E137" s="120" t="s">
        <v>580</v>
      </c>
      <c r="F137" s="815">
        <f t="shared" si="25"/>
        <v>4854364</v>
      </c>
      <c r="G137" s="826">
        <f>4395890+458474+40000-40000</f>
        <v>4854364</v>
      </c>
      <c r="H137" s="826">
        <f>3514254+375798</f>
        <v>3890052</v>
      </c>
      <c r="I137" s="816">
        <v>28000</v>
      </c>
      <c r="J137" s="816"/>
      <c r="K137" s="1057">
        <f t="shared" ref="K137:K164" si="30">N137+L137</f>
        <v>40000</v>
      </c>
      <c r="L137" s="1048">
        <v>40000</v>
      </c>
      <c r="M137" s="1048"/>
      <c r="N137" s="1048"/>
      <c r="O137" s="1048"/>
      <c r="P137" s="1048"/>
      <c r="Q137" s="1048">
        <v>40000</v>
      </c>
      <c r="R137" s="1027">
        <f t="shared" si="27"/>
        <v>4894364</v>
      </c>
    </row>
    <row r="138" spans="1:18" s="77" customFormat="1" ht="35.25" customHeight="1" x14ac:dyDescent="0.25">
      <c r="A138" s="90"/>
      <c r="B138" s="107"/>
      <c r="C138" s="118"/>
      <c r="D138" s="119"/>
      <c r="E138" s="125" t="s">
        <v>1167</v>
      </c>
      <c r="F138" s="325">
        <f t="shared" si="25"/>
        <v>458474</v>
      </c>
      <c r="G138" s="1048">
        <v>458474</v>
      </c>
      <c r="H138" s="318">
        <v>375798</v>
      </c>
      <c r="I138" s="816"/>
      <c r="J138" s="816"/>
      <c r="K138" s="1057">
        <f t="shared" si="30"/>
        <v>0</v>
      </c>
      <c r="L138" s="1048"/>
      <c r="M138" s="1048"/>
      <c r="N138" s="1048"/>
      <c r="O138" s="1048"/>
      <c r="P138" s="1048"/>
      <c r="Q138" s="1048"/>
      <c r="R138" s="1027">
        <f t="shared" si="27"/>
        <v>458474</v>
      </c>
    </row>
    <row r="139" spans="1:18" s="77" customFormat="1" ht="18" customHeight="1" x14ac:dyDescent="0.25">
      <c r="A139" s="90"/>
      <c r="B139" s="104" t="s">
        <v>115</v>
      </c>
      <c r="C139" s="719" t="s">
        <v>114</v>
      </c>
      <c r="D139" s="102" t="s">
        <v>113</v>
      </c>
      <c r="E139" s="105" t="s">
        <v>112</v>
      </c>
      <c r="F139" s="818">
        <f t="shared" si="25"/>
        <v>12050000</v>
      </c>
      <c r="G139" s="826">
        <f>9500000+1350000+200000+1000000</f>
        <v>12050000</v>
      </c>
      <c r="H139" s="826"/>
      <c r="I139" s="820"/>
      <c r="J139" s="820"/>
      <c r="K139" s="1057">
        <f t="shared" si="30"/>
        <v>0</v>
      </c>
      <c r="L139" s="1048"/>
      <c r="M139" s="1048"/>
      <c r="N139" s="1048"/>
      <c r="O139" s="1048"/>
      <c r="P139" s="1048"/>
      <c r="Q139" s="1048"/>
      <c r="R139" s="1074">
        <f t="shared" si="27"/>
        <v>12050000</v>
      </c>
    </row>
    <row r="140" spans="1:18" s="77" customFormat="1" ht="22.5" customHeight="1" x14ac:dyDescent="0.25">
      <c r="A140" s="90"/>
      <c r="B140" s="104"/>
      <c r="C140" s="719"/>
      <c r="D140" s="102"/>
      <c r="E140" s="105" t="s">
        <v>105</v>
      </c>
      <c r="F140" s="818">
        <f t="shared" si="25"/>
        <v>1550000</v>
      </c>
      <c r="G140" s="826">
        <f>1350000+200000</f>
        <v>1550000</v>
      </c>
      <c r="H140" s="826"/>
      <c r="I140" s="820"/>
      <c r="J140" s="820"/>
      <c r="K140" s="1057">
        <f t="shared" si="30"/>
        <v>0</v>
      </c>
      <c r="L140" s="1048"/>
      <c r="M140" s="1048"/>
      <c r="N140" s="1048"/>
      <c r="O140" s="1048"/>
      <c r="P140" s="1048"/>
      <c r="Q140" s="1048"/>
      <c r="R140" s="1074">
        <f t="shared" si="27"/>
        <v>1550000</v>
      </c>
    </row>
    <row r="141" spans="1:18" s="77" customFormat="1" ht="33" customHeight="1" x14ac:dyDescent="0.25">
      <c r="A141" s="90"/>
      <c r="B141" s="104" t="s">
        <v>110</v>
      </c>
      <c r="C141" s="719" t="s">
        <v>109</v>
      </c>
      <c r="D141" s="102" t="s">
        <v>108</v>
      </c>
      <c r="E141" s="105" t="s">
        <v>107</v>
      </c>
      <c r="F141" s="818">
        <f t="shared" si="25"/>
        <v>5242468</v>
      </c>
      <c r="G141" s="826">
        <f>4707300+60000+52000+303168+120000</f>
        <v>5242468</v>
      </c>
      <c r="H141" s="826"/>
      <c r="I141" s="820"/>
      <c r="J141" s="820"/>
      <c r="K141" s="1057">
        <f t="shared" si="30"/>
        <v>372520</v>
      </c>
      <c r="L141" s="1048">
        <f>258720+113800</f>
        <v>372520</v>
      </c>
      <c r="M141" s="1048"/>
      <c r="N141" s="1048"/>
      <c r="O141" s="1048"/>
      <c r="P141" s="1048"/>
      <c r="Q141" s="1048">
        <f>258720+113800</f>
        <v>372520</v>
      </c>
      <c r="R141" s="1074">
        <f t="shared" si="27"/>
        <v>5614988</v>
      </c>
    </row>
    <row r="142" spans="1:18" s="77" customFormat="1" ht="19.5" customHeight="1" x14ac:dyDescent="0.25">
      <c r="A142" s="90"/>
      <c r="B142" s="104"/>
      <c r="C142" s="719"/>
      <c r="D142" s="102"/>
      <c r="E142" s="105" t="s">
        <v>105</v>
      </c>
      <c r="F142" s="818">
        <f>G142+J142</f>
        <v>3652268</v>
      </c>
      <c r="G142" s="826">
        <f>3229100+60000+40000+303168+20000</f>
        <v>3652268</v>
      </c>
      <c r="H142" s="826"/>
      <c r="I142" s="820"/>
      <c r="J142" s="820"/>
      <c r="K142" s="1057">
        <f t="shared" si="30"/>
        <v>372520</v>
      </c>
      <c r="L142" s="1048">
        <f>258720+113800</f>
        <v>372520</v>
      </c>
      <c r="M142" s="1048"/>
      <c r="N142" s="1048"/>
      <c r="O142" s="1048"/>
      <c r="P142" s="1048"/>
      <c r="Q142" s="1048">
        <f>258720+113800</f>
        <v>372520</v>
      </c>
      <c r="R142" s="1074">
        <f t="shared" si="27"/>
        <v>4024788</v>
      </c>
    </row>
    <row r="143" spans="1:18" s="77" customFormat="1" ht="31.5" hidden="1" customHeight="1" x14ac:dyDescent="0.25">
      <c r="A143" s="90"/>
      <c r="B143" s="104" t="s">
        <v>103</v>
      </c>
      <c r="C143" s="719" t="s">
        <v>102</v>
      </c>
      <c r="D143" s="102" t="s">
        <v>101</v>
      </c>
      <c r="E143" s="103" t="s">
        <v>100</v>
      </c>
      <c r="F143" s="815">
        <f t="shared" si="25"/>
        <v>0</v>
      </c>
      <c r="G143" s="826"/>
      <c r="H143" s="844"/>
      <c r="I143" s="816"/>
      <c r="J143" s="816"/>
      <c r="K143" s="1057">
        <f t="shared" si="30"/>
        <v>0</v>
      </c>
      <c r="L143" s="1048"/>
      <c r="M143" s="1048"/>
      <c r="N143" s="1048"/>
      <c r="O143" s="1048"/>
      <c r="P143" s="1048"/>
      <c r="Q143" s="1048"/>
      <c r="R143" s="1027">
        <f t="shared" si="27"/>
        <v>0</v>
      </c>
    </row>
    <row r="144" spans="1:18" s="77" customFormat="1" ht="15.75" hidden="1" customHeight="1" x14ac:dyDescent="0.25">
      <c r="A144" s="90"/>
      <c r="B144" s="104"/>
      <c r="C144" s="719"/>
      <c r="D144" s="102"/>
      <c r="E144" s="103" t="s">
        <v>99</v>
      </c>
      <c r="F144" s="815">
        <f t="shared" si="25"/>
        <v>0</v>
      </c>
      <c r="G144" s="826"/>
      <c r="H144" s="844"/>
      <c r="I144" s="816"/>
      <c r="J144" s="816"/>
      <c r="K144" s="1057">
        <f t="shared" si="30"/>
        <v>0</v>
      </c>
      <c r="L144" s="1048"/>
      <c r="M144" s="1048"/>
      <c r="N144" s="1048"/>
      <c r="O144" s="1048"/>
      <c r="P144" s="1048"/>
      <c r="Q144" s="1048"/>
      <c r="R144" s="1027">
        <f t="shared" si="27"/>
        <v>0</v>
      </c>
    </row>
    <row r="145" spans="1:18" s="77" customFormat="1" ht="47.25" hidden="1" customHeight="1" x14ac:dyDescent="0.25">
      <c r="A145" s="90"/>
      <c r="B145" s="104"/>
      <c r="C145" s="719"/>
      <c r="D145" s="102"/>
      <c r="E145" s="103" t="s">
        <v>98</v>
      </c>
      <c r="F145" s="815">
        <f t="shared" si="25"/>
        <v>0</v>
      </c>
      <c r="G145" s="826"/>
      <c r="H145" s="844"/>
      <c r="I145" s="816"/>
      <c r="J145" s="816"/>
      <c r="K145" s="1057">
        <f t="shared" si="30"/>
        <v>0</v>
      </c>
      <c r="L145" s="1048"/>
      <c r="M145" s="1048"/>
      <c r="N145" s="1048"/>
      <c r="O145" s="1048"/>
      <c r="P145" s="1048"/>
      <c r="Q145" s="1048"/>
      <c r="R145" s="1027">
        <f t="shared" si="27"/>
        <v>0</v>
      </c>
    </row>
    <row r="146" spans="1:18" s="77" customFormat="1" ht="28.2" customHeight="1" x14ac:dyDescent="0.25">
      <c r="A146" s="90"/>
      <c r="B146" s="104" t="s">
        <v>97</v>
      </c>
      <c r="C146" s="719" t="s">
        <v>96</v>
      </c>
      <c r="D146" s="102" t="s">
        <v>95</v>
      </c>
      <c r="E146" s="103" t="s">
        <v>449</v>
      </c>
      <c r="F146" s="825">
        <f t="shared" si="25"/>
        <v>1000</v>
      </c>
      <c r="G146" s="826">
        <v>1000</v>
      </c>
      <c r="H146" s="826"/>
      <c r="I146" s="816"/>
      <c r="J146" s="816"/>
      <c r="K146" s="1057">
        <f t="shared" si="30"/>
        <v>0</v>
      </c>
      <c r="L146" s="1048"/>
      <c r="M146" s="1048"/>
      <c r="N146" s="1048"/>
      <c r="O146" s="1048"/>
      <c r="P146" s="1048"/>
      <c r="Q146" s="1048"/>
      <c r="R146" s="1027">
        <f t="shared" si="27"/>
        <v>1000</v>
      </c>
    </row>
    <row r="147" spans="1:18" s="77" customFormat="1" ht="51" customHeight="1" x14ac:dyDescent="0.25">
      <c r="A147" s="90"/>
      <c r="B147" s="104" t="s">
        <v>92</v>
      </c>
      <c r="C147" s="719" t="s">
        <v>91</v>
      </c>
      <c r="D147" s="102" t="s">
        <v>90</v>
      </c>
      <c r="E147" s="105" t="s">
        <v>450</v>
      </c>
      <c r="F147" s="825">
        <f t="shared" si="25"/>
        <v>2429900.9500000002</v>
      </c>
      <c r="G147" s="826">
        <f>7283026+58540-4911665.05</f>
        <v>2429900.9500000002</v>
      </c>
      <c r="H147" s="826">
        <f>5687537-3864103.13</f>
        <v>1823433.87</v>
      </c>
      <c r="I147" s="816">
        <f>7033+62678+51000-24280.26</f>
        <v>96430.74</v>
      </c>
      <c r="J147" s="816"/>
      <c r="K147" s="1057">
        <f t="shared" si="30"/>
        <v>0</v>
      </c>
      <c r="L147" s="1048"/>
      <c r="M147" s="1048"/>
      <c r="N147" s="1048"/>
      <c r="O147" s="1048"/>
      <c r="P147" s="1048"/>
      <c r="Q147" s="1048"/>
      <c r="R147" s="1027">
        <f t="shared" si="27"/>
        <v>2429900.9500000002</v>
      </c>
    </row>
    <row r="148" spans="1:18" s="77" customFormat="1" ht="15.75" hidden="1" customHeight="1" x14ac:dyDescent="0.25">
      <c r="A148" s="90"/>
      <c r="B148" s="104"/>
      <c r="C148" s="719"/>
      <c r="D148" s="102"/>
      <c r="E148" s="106"/>
      <c r="F148" s="825"/>
      <c r="G148" s="827"/>
      <c r="H148" s="844"/>
      <c r="I148" s="816"/>
      <c r="J148" s="816"/>
      <c r="K148" s="1057">
        <f t="shared" si="30"/>
        <v>0</v>
      </c>
      <c r="L148" s="1048"/>
      <c r="M148" s="1048"/>
      <c r="N148" s="1048"/>
      <c r="O148" s="1048"/>
      <c r="P148" s="1048"/>
      <c r="Q148" s="1048"/>
      <c r="R148" s="1027">
        <f t="shared" si="27"/>
        <v>0</v>
      </c>
    </row>
    <row r="149" spans="1:18" s="77" customFormat="1" ht="62.4" x14ac:dyDescent="0.25">
      <c r="A149" s="90"/>
      <c r="B149" s="104" t="s">
        <v>516</v>
      </c>
      <c r="C149" s="719" t="s">
        <v>453</v>
      </c>
      <c r="D149" s="102" t="s">
        <v>85</v>
      </c>
      <c r="E149" s="1171" t="s">
        <v>1175</v>
      </c>
      <c r="F149" s="825">
        <f t="shared" si="25"/>
        <v>5809873.8799999999</v>
      </c>
      <c r="G149" s="845">
        <f>1265763+8000+4536110.88</f>
        <v>5809873.8799999999</v>
      </c>
      <c r="H149" s="816">
        <f>998028+3588962.7</f>
        <v>4586990.7</v>
      </c>
      <c r="I149" s="816">
        <f>370+3910+5198+18985.82</f>
        <v>28463.82</v>
      </c>
      <c r="J149" s="816"/>
      <c r="K149" s="1057">
        <f t="shared" si="30"/>
        <v>0</v>
      </c>
      <c r="L149" s="1048"/>
      <c r="M149" s="1048"/>
      <c r="N149" s="1048"/>
      <c r="O149" s="1048"/>
      <c r="P149" s="1048"/>
      <c r="Q149" s="1048"/>
      <c r="R149" s="1027">
        <f t="shared" si="27"/>
        <v>5809873.8799999999</v>
      </c>
    </row>
    <row r="150" spans="1:18" s="77" customFormat="1" ht="15.75" hidden="1" customHeight="1" x14ac:dyDescent="0.25">
      <c r="A150" s="90"/>
      <c r="B150" s="104" t="s">
        <v>517</v>
      </c>
      <c r="C150" s="719" t="s">
        <v>230</v>
      </c>
      <c r="D150" s="102" t="s">
        <v>85</v>
      </c>
      <c r="E150" s="105" t="s">
        <v>229</v>
      </c>
      <c r="F150" s="825">
        <f t="shared" si="25"/>
        <v>0</v>
      </c>
      <c r="G150" s="826"/>
      <c r="H150" s="844"/>
      <c r="I150" s="816"/>
      <c r="J150" s="816"/>
      <c r="K150" s="1057">
        <f t="shared" si="30"/>
        <v>0</v>
      </c>
      <c r="L150" s="1048"/>
      <c r="M150" s="1048"/>
      <c r="N150" s="1048"/>
      <c r="O150" s="1048"/>
      <c r="P150" s="1048"/>
      <c r="Q150" s="1048"/>
      <c r="R150" s="1027">
        <f t="shared" si="27"/>
        <v>0</v>
      </c>
    </row>
    <row r="151" spans="1:18" s="77" customFormat="1" ht="63" customHeight="1" x14ac:dyDescent="0.25">
      <c r="A151" s="90"/>
      <c r="B151" s="104" t="s">
        <v>87</v>
      </c>
      <c r="C151" s="719" t="s">
        <v>86</v>
      </c>
      <c r="D151" s="102" t="s">
        <v>85</v>
      </c>
      <c r="E151" s="105" t="s">
        <v>84</v>
      </c>
      <c r="F151" s="825">
        <f t="shared" si="25"/>
        <v>630000</v>
      </c>
      <c r="G151" s="826">
        <v>630000</v>
      </c>
      <c r="H151" s="844"/>
      <c r="I151" s="816"/>
      <c r="J151" s="816"/>
      <c r="K151" s="1057">
        <f t="shared" si="30"/>
        <v>0</v>
      </c>
      <c r="L151" s="1048"/>
      <c r="M151" s="1048"/>
      <c r="N151" s="1048"/>
      <c r="O151" s="1048"/>
      <c r="P151" s="1048"/>
      <c r="Q151" s="1048"/>
      <c r="R151" s="1027">
        <f t="shared" si="27"/>
        <v>630000</v>
      </c>
    </row>
    <row r="152" spans="1:18" s="77" customFormat="1" ht="66" customHeight="1" x14ac:dyDescent="0.25">
      <c r="A152" s="90"/>
      <c r="B152" s="104" t="s">
        <v>80</v>
      </c>
      <c r="C152" s="719">
        <v>3160</v>
      </c>
      <c r="D152" s="102" t="s">
        <v>78</v>
      </c>
      <c r="E152" s="103" t="s">
        <v>77</v>
      </c>
      <c r="F152" s="825">
        <f t="shared" si="25"/>
        <v>135000</v>
      </c>
      <c r="G152" s="826">
        <v>135000</v>
      </c>
      <c r="H152" s="844"/>
      <c r="I152" s="816"/>
      <c r="J152" s="816"/>
      <c r="K152" s="1057">
        <f t="shared" si="30"/>
        <v>0</v>
      </c>
      <c r="L152" s="1048"/>
      <c r="M152" s="1048"/>
      <c r="N152" s="1048"/>
      <c r="O152" s="1048"/>
      <c r="P152" s="1048"/>
      <c r="Q152" s="1048"/>
      <c r="R152" s="1027">
        <f t="shared" si="27"/>
        <v>135000</v>
      </c>
    </row>
    <row r="153" spans="1:18" s="77" customFormat="1" ht="21.75" customHeight="1" x14ac:dyDescent="0.25">
      <c r="A153" s="90"/>
      <c r="B153" s="104" t="s">
        <v>76</v>
      </c>
      <c r="C153" s="719" t="s">
        <v>75</v>
      </c>
      <c r="D153" s="102" t="s">
        <v>74</v>
      </c>
      <c r="E153" s="105" t="s">
        <v>73</v>
      </c>
      <c r="F153" s="825">
        <f t="shared" si="25"/>
        <v>10800</v>
      </c>
      <c r="G153" s="826">
        <v>10800</v>
      </c>
      <c r="H153" s="844"/>
      <c r="I153" s="816"/>
      <c r="J153" s="816"/>
      <c r="K153" s="1057">
        <f t="shared" si="30"/>
        <v>0</v>
      </c>
      <c r="L153" s="1048"/>
      <c r="M153" s="1048"/>
      <c r="N153" s="1048"/>
      <c r="O153" s="1048"/>
      <c r="P153" s="1048"/>
      <c r="Q153" s="1048"/>
      <c r="R153" s="1027">
        <f t="shared" si="27"/>
        <v>10800</v>
      </c>
    </row>
    <row r="154" spans="1:18" s="77" customFormat="1" ht="47.25" customHeight="1" x14ac:dyDescent="0.25">
      <c r="A154" s="90"/>
      <c r="B154" s="107" t="s">
        <v>72</v>
      </c>
      <c r="C154" s="95">
        <v>3192</v>
      </c>
      <c r="D154" s="96">
        <v>1030</v>
      </c>
      <c r="E154" s="94" t="s">
        <v>71</v>
      </c>
      <c r="F154" s="825">
        <f t="shared" si="25"/>
        <v>51000</v>
      </c>
      <c r="G154" s="820">
        <v>51000</v>
      </c>
      <c r="H154" s="844"/>
      <c r="I154" s="816"/>
      <c r="J154" s="816"/>
      <c r="K154" s="1057">
        <f t="shared" si="30"/>
        <v>0</v>
      </c>
      <c r="L154" s="1048"/>
      <c r="M154" s="1048"/>
      <c r="N154" s="1048"/>
      <c r="O154" s="1048"/>
      <c r="P154" s="1048"/>
      <c r="Q154" s="1048"/>
      <c r="R154" s="1027">
        <f t="shared" si="27"/>
        <v>51000</v>
      </c>
    </row>
    <row r="155" spans="1:18" s="77" customFormat="1" ht="47.25" customHeight="1" x14ac:dyDescent="0.25">
      <c r="A155" s="90"/>
      <c r="B155" s="104" t="s">
        <v>1014</v>
      </c>
      <c r="C155" s="95" t="s">
        <v>1015</v>
      </c>
      <c r="D155" s="95">
        <v>1030</v>
      </c>
      <c r="E155" s="291" t="s">
        <v>1016</v>
      </c>
      <c r="F155" s="1138">
        <f>G155+J155</f>
        <v>755854</v>
      </c>
      <c r="G155" s="1140">
        <v>755854</v>
      </c>
      <c r="H155" s="318">
        <v>619552</v>
      </c>
      <c r="I155" s="318"/>
      <c r="J155" s="318"/>
      <c r="K155" s="1081">
        <f>N155+L155</f>
        <v>0</v>
      </c>
      <c r="L155" s="317"/>
      <c r="M155" s="318"/>
      <c r="N155" s="318"/>
      <c r="O155" s="318"/>
      <c r="P155" s="318"/>
      <c r="Q155" s="318"/>
      <c r="R155" s="1082">
        <f>F155+K155</f>
        <v>755854</v>
      </c>
    </row>
    <row r="156" spans="1:18" s="77" customFormat="1" ht="47.25" customHeight="1" x14ac:dyDescent="0.25">
      <c r="A156" s="90"/>
      <c r="B156" s="104"/>
      <c r="C156" s="95"/>
      <c r="D156" s="95"/>
      <c r="E156" s="105" t="s">
        <v>105</v>
      </c>
      <c r="F156" s="1138">
        <f>G156+J156</f>
        <v>755854</v>
      </c>
      <c r="G156" s="1140">
        <v>755854</v>
      </c>
      <c r="H156" s="318">
        <v>619552</v>
      </c>
      <c r="I156" s="318"/>
      <c r="J156" s="318"/>
      <c r="K156" s="1081">
        <f>N156+L156</f>
        <v>0</v>
      </c>
      <c r="L156" s="317"/>
      <c r="M156" s="318"/>
      <c r="N156" s="318"/>
      <c r="O156" s="318"/>
      <c r="P156" s="318"/>
      <c r="Q156" s="318"/>
      <c r="R156" s="1082">
        <f>F156+K156</f>
        <v>755854</v>
      </c>
    </row>
    <row r="157" spans="1:18" s="77" customFormat="1" ht="252" hidden="1" customHeight="1" x14ac:dyDescent="0.25">
      <c r="A157" s="90"/>
      <c r="B157" s="398" t="s">
        <v>937</v>
      </c>
      <c r="C157" s="95" t="s">
        <v>938</v>
      </c>
      <c r="D157" s="95" t="s">
        <v>942</v>
      </c>
      <c r="E157" s="291" t="s">
        <v>936</v>
      </c>
      <c r="F157" s="815"/>
      <c r="G157" s="820"/>
      <c r="H157" s="1141"/>
      <c r="I157" s="816"/>
      <c r="J157" s="816"/>
      <c r="K157" s="1081">
        <f t="shared" si="30"/>
        <v>0</v>
      </c>
      <c r="L157" s="317"/>
      <c r="M157" s="318"/>
      <c r="N157" s="318"/>
      <c r="O157" s="318"/>
      <c r="P157" s="318"/>
      <c r="Q157" s="317"/>
      <c r="R157" s="1082">
        <f t="shared" si="27"/>
        <v>0</v>
      </c>
    </row>
    <row r="158" spans="1:18" s="77" customFormat="1" ht="35.25" customHeight="1" x14ac:dyDescent="0.25">
      <c r="A158" s="90"/>
      <c r="B158" s="107" t="s">
        <v>599</v>
      </c>
      <c r="C158" s="95" t="s">
        <v>600</v>
      </c>
      <c r="D158" s="96" t="s">
        <v>95</v>
      </c>
      <c r="E158" s="94" t="s">
        <v>601</v>
      </c>
      <c r="F158" s="825">
        <f t="shared" si="25"/>
        <v>80000</v>
      </c>
      <c r="G158" s="820">
        <v>80000</v>
      </c>
      <c r="H158" s="826"/>
      <c r="I158" s="816"/>
      <c r="J158" s="816"/>
      <c r="K158" s="1057"/>
      <c r="L158" s="1048"/>
      <c r="M158" s="1048"/>
      <c r="N158" s="1048"/>
      <c r="O158" s="1048"/>
      <c r="P158" s="1048"/>
      <c r="Q158" s="1048"/>
      <c r="R158" s="1027">
        <f t="shared" si="27"/>
        <v>80000</v>
      </c>
    </row>
    <row r="159" spans="1:18" s="77" customFormat="1" ht="46.8" x14ac:dyDescent="0.25">
      <c r="A159" s="90"/>
      <c r="B159" s="107" t="s">
        <v>628</v>
      </c>
      <c r="C159" s="95" t="s">
        <v>459</v>
      </c>
      <c r="D159" s="96" t="s">
        <v>63</v>
      </c>
      <c r="E159" s="1170" t="s">
        <v>1176</v>
      </c>
      <c r="F159" s="825">
        <f t="shared" si="25"/>
        <v>3344178.17</v>
      </c>
      <c r="G159" s="820">
        <f>2588542+81543+74148+499951.17+99994</f>
        <v>3344178.17</v>
      </c>
      <c r="H159" s="826">
        <f>1485120+275140.43</f>
        <v>1760260.43</v>
      </c>
      <c r="I159" s="816">
        <f>277560+342590+81543-35852+99691.44</f>
        <v>765532.44</v>
      </c>
      <c r="J159" s="816"/>
      <c r="K159" s="1057"/>
      <c r="L159" s="1048"/>
      <c r="M159" s="1048"/>
      <c r="N159" s="1048"/>
      <c r="O159" s="1048"/>
      <c r="P159" s="1048"/>
      <c r="Q159" s="1048"/>
      <c r="R159" s="1027">
        <f t="shared" si="27"/>
        <v>3344178.17</v>
      </c>
    </row>
    <row r="160" spans="1:18" s="77" customFormat="1" ht="15.6" x14ac:dyDescent="0.25">
      <c r="A160" s="90"/>
      <c r="B160" s="107"/>
      <c r="C160" s="95"/>
      <c r="D160" s="96"/>
      <c r="E160" s="125" t="s">
        <v>711</v>
      </c>
      <c r="F160" s="821">
        <f t="shared" si="25"/>
        <v>298539</v>
      </c>
      <c r="G160" s="820">
        <f>74148+124397+99994</f>
        <v>298539</v>
      </c>
      <c r="H160" s="826"/>
      <c r="I160" s="816">
        <f>50148+94397</f>
        <v>144545</v>
      </c>
      <c r="J160" s="816"/>
      <c r="K160" s="1057"/>
      <c r="L160" s="1048"/>
      <c r="M160" s="1048"/>
      <c r="N160" s="1048"/>
      <c r="O160" s="1048"/>
      <c r="P160" s="1048"/>
      <c r="Q160" s="1048"/>
      <c r="R160" s="1027">
        <f t="shared" si="27"/>
        <v>298539</v>
      </c>
    </row>
    <row r="161" spans="1:18" s="77" customFormat="1" ht="31.2" x14ac:dyDescent="0.25">
      <c r="A161" s="90"/>
      <c r="B161" s="107"/>
      <c r="C161" s="95"/>
      <c r="D161" s="96"/>
      <c r="E161" s="125" t="s">
        <v>1458</v>
      </c>
      <c r="F161" s="821">
        <f>G161+J161</f>
        <v>81543</v>
      </c>
      <c r="G161" s="820">
        <f>81543</f>
        <v>81543</v>
      </c>
      <c r="H161" s="826"/>
      <c r="I161" s="820">
        <v>81543</v>
      </c>
      <c r="J161" s="816"/>
      <c r="K161" s="1057"/>
      <c r="L161" s="1048"/>
      <c r="M161" s="1048"/>
      <c r="N161" s="1048"/>
      <c r="O161" s="1048"/>
      <c r="P161" s="1048"/>
      <c r="Q161" s="1048"/>
      <c r="R161" s="1027">
        <f>F161+K161</f>
        <v>81543</v>
      </c>
    </row>
    <row r="162" spans="1:18" s="77" customFormat="1" ht="24.75" customHeight="1" x14ac:dyDescent="0.25">
      <c r="A162" s="90"/>
      <c r="B162" s="107" t="s">
        <v>65</v>
      </c>
      <c r="C162" s="95" t="s">
        <v>64</v>
      </c>
      <c r="D162" s="96" t="s">
        <v>63</v>
      </c>
      <c r="E162" s="94" t="s">
        <v>62</v>
      </c>
      <c r="F162" s="815">
        <f t="shared" si="25"/>
        <v>2800000</v>
      </c>
      <c r="G162" s="820">
        <f>1500000+2000000+300000-1000000</f>
        <v>2800000</v>
      </c>
      <c r="H162" s="844"/>
      <c r="I162" s="816"/>
      <c r="J162" s="816"/>
      <c r="K162" s="1057">
        <f t="shared" si="30"/>
        <v>0</v>
      </c>
      <c r="L162" s="1048"/>
      <c r="M162" s="1048"/>
      <c r="N162" s="1048"/>
      <c r="O162" s="1048"/>
      <c r="P162" s="1048"/>
      <c r="Q162" s="1048"/>
      <c r="R162" s="1027">
        <f t="shared" si="27"/>
        <v>2800000</v>
      </c>
    </row>
    <row r="163" spans="1:18" s="77" customFormat="1" ht="63" hidden="1" customHeight="1" x14ac:dyDescent="0.25">
      <c r="A163" s="90"/>
      <c r="B163" s="107" t="s">
        <v>59</v>
      </c>
      <c r="C163" s="95" t="s">
        <v>58</v>
      </c>
      <c r="D163" s="96" t="s">
        <v>57</v>
      </c>
      <c r="E163" s="94" t="s">
        <v>56</v>
      </c>
      <c r="F163" s="815"/>
      <c r="G163" s="820"/>
      <c r="H163" s="816"/>
      <c r="I163" s="816"/>
      <c r="J163" s="816"/>
      <c r="K163" s="1057">
        <f t="shared" si="30"/>
        <v>0</v>
      </c>
      <c r="L163" s="1048"/>
      <c r="M163" s="1048"/>
      <c r="N163" s="1048"/>
      <c r="O163" s="1048"/>
      <c r="P163" s="1048"/>
      <c r="Q163" s="1048"/>
      <c r="R163" s="1027">
        <f t="shared" si="27"/>
        <v>0</v>
      </c>
    </row>
    <row r="164" spans="1:18" s="77" customFormat="1" ht="15.75" hidden="1" customHeight="1" x14ac:dyDescent="0.25">
      <c r="A164" s="90"/>
      <c r="B164" s="108"/>
      <c r="C164" s="118"/>
      <c r="D164" s="119"/>
      <c r="E164" s="103" t="s">
        <v>518</v>
      </c>
      <c r="F164" s="846"/>
      <c r="G164" s="828"/>
      <c r="H164" s="829"/>
      <c r="I164" s="829"/>
      <c r="J164" s="829"/>
      <c r="K164" s="1071">
        <f t="shared" si="30"/>
        <v>0</v>
      </c>
      <c r="L164" s="1070"/>
      <c r="M164" s="1070"/>
      <c r="N164" s="1070"/>
      <c r="O164" s="1070"/>
      <c r="P164" s="1070"/>
      <c r="Q164" s="1070"/>
      <c r="R164" s="1064">
        <f t="shared" si="27"/>
        <v>0</v>
      </c>
    </row>
    <row r="165" spans="1:18" s="77" customFormat="1" ht="23.4" customHeight="1" x14ac:dyDescent="0.25">
      <c r="A165" s="90"/>
      <c r="B165" s="104" t="s">
        <v>726</v>
      </c>
      <c r="C165" s="719" t="s">
        <v>727</v>
      </c>
      <c r="D165" s="719" t="s">
        <v>53</v>
      </c>
      <c r="E165" s="320" t="s">
        <v>728</v>
      </c>
      <c r="F165" s="815"/>
      <c r="G165" s="820"/>
      <c r="H165" s="816"/>
      <c r="I165" s="816"/>
      <c r="J165" s="816"/>
      <c r="K165" s="1081">
        <f>Q165+N165</f>
        <v>64016660</v>
      </c>
      <c r="L165" s="1048">
        <f>7000000+3468984+1659851</f>
        <v>12128835</v>
      </c>
      <c r="M165" s="1048"/>
      <c r="N165" s="1048"/>
      <c r="O165" s="1048"/>
      <c r="P165" s="1048"/>
      <c r="Q165" s="1048">
        <f>7000000+3468984+51887825+1659851</f>
        <v>64016660</v>
      </c>
      <c r="R165" s="1027">
        <f t="shared" si="27"/>
        <v>64016660</v>
      </c>
    </row>
    <row r="166" spans="1:18" s="77" customFormat="1" ht="16.5" customHeight="1" thickBot="1" x14ac:dyDescent="0.3">
      <c r="A166" s="90"/>
      <c r="B166" s="485"/>
      <c r="C166" s="481"/>
      <c r="D166" s="482"/>
      <c r="E166" s="457" t="s">
        <v>49</v>
      </c>
      <c r="F166" s="846"/>
      <c r="G166" s="828"/>
      <c r="H166" s="829"/>
      <c r="I166" s="829"/>
      <c r="J166" s="829"/>
      <c r="K166" s="1085">
        <f>Q166+N166</f>
        <v>51887825</v>
      </c>
      <c r="L166" s="1070"/>
      <c r="M166" s="1070"/>
      <c r="N166" s="1070"/>
      <c r="O166" s="1070"/>
      <c r="P166" s="1070"/>
      <c r="Q166" s="1070">
        <v>51887825</v>
      </c>
      <c r="R166" s="1064">
        <f t="shared" si="27"/>
        <v>51887825</v>
      </c>
    </row>
    <row r="167" spans="1:18" s="77" customFormat="1" ht="31.2" x14ac:dyDescent="0.25">
      <c r="A167" s="90"/>
      <c r="B167" s="284" t="s">
        <v>48</v>
      </c>
      <c r="C167" s="440"/>
      <c r="D167" s="469"/>
      <c r="E167" s="847" t="s">
        <v>519</v>
      </c>
      <c r="F167" s="811">
        <f>F168</f>
        <v>19097468</v>
      </c>
      <c r="G167" s="833">
        <f t="shared" ref="G167:R167" si="31">G168</f>
        <v>19097468</v>
      </c>
      <c r="H167" s="811">
        <f t="shared" si="31"/>
        <v>12133562</v>
      </c>
      <c r="I167" s="811">
        <f t="shared" si="31"/>
        <v>2798624</v>
      </c>
      <c r="J167" s="811">
        <f t="shared" si="31"/>
        <v>0</v>
      </c>
      <c r="K167" s="1065">
        <f t="shared" si="31"/>
        <v>114440</v>
      </c>
      <c r="L167" s="1065">
        <f t="shared" si="31"/>
        <v>0</v>
      </c>
      <c r="M167" s="1065">
        <f t="shared" si="31"/>
        <v>0</v>
      </c>
      <c r="N167" s="1065">
        <f t="shared" si="31"/>
        <v>114440</v>
      </c>
      <c r="O167" s="1065">
        <f t="shared" si="31"/>
        <v>0</v>
      </c>
      <c r="P167" s="1065">
        <f t="shared" si="31"/>
        <v>1000</v>
      </c>
      <c r="Q167" s="1065">
        <f t="shared" si="31"/>
        <v>0</v>
      </c>
      <c r="R167" s="1050">
        <f t="shared" si="31"/>
        <v>19211908</v>
      </c>
    </row>
    <row r="168" spans="1:18" s="77" customFormat="1" ht="31.8" thickBot="1" x14ac:dyDescent="0.3">
      <c r="A168" s="90"/>
      <c r="B168" s="433" t="s">
        <v>520</v>
      </c>
      <c r="C168" s="434"/>
      <c r="D168" s="470"/>
      <c r="E168" s="484" t="s">
        <v>519</v>
      </c>
      <c r="F168" s="812">
        <f t="shared" ref="F168:R168" si="32">F169+F170+F171+F172+F173+F174+F175+F176+F177</f>
        <v>19097468</v>
      </c>
      <c r="G168" s="834">
        <f t="shared" si="32"/>
        <v>19097468</v>
      </c>
      <c r="H168" s="812">
        <f t="shared" si="32"/>
        <v>12133562</v>
      </c>
      <c r="I168" s="812">
        <f t="shared" si="32"/>
        <v>2798624</v>
      </c>
      <c r="J168" s="812">
        <f t="shared" si="32"/>
        <v>0</v>
      </c>
      <c r="K168" s="1051">
        <f t="shared" si="32"/>
        <v>114440</v>
      </c>
      <c r="L168" s="1051">
        <f t="shared" si="32"/>
        <v>0</v>
      </c>
      <c r="M168" s="1051">
        <f t="shared" si="32"/>
        <v>0</v>
      </c>
      <c r="N168" s="1051">
        <f t="shared" si="32"/>
        <v>114440</v>
      </c>
      <c r="O168" s="1051">
        <f t="shared" si="32"/>
        <v>0</v>
      </c>
      <c r="P168" s="1051">
        <f t="shared" si="32"/>
        <v>1000</v>
      </c>
      <c r="Q168" s="1051">
        <f t="shared" si="32"/>
        <v>0</v>
      </c>
      <c r="R168" s="1052">
        <f t="shared" si="32"/>
        <v>19211908</v>
      </c>
    </row>
    <row r="169" spans="1:18" s="77" customFormat="1" ht="30.75" customHeight="1" x14ac:dyDescent="0.25">
      <c r="A169" s="90"/>
      <c r="B169" s="459" t="s">
        <v>45</v>
      </c>
      <c r="C169" s="481" t="s">
        <v>44</v>
      </c>
      <c r="D169" s="482" t="s">
        <v>43</v>
      </c>
      <c r="E169" s="483" t="s">
        <v>580</v>
      </c>
      <c r="F169" s="814">
        <f>G169+J169</f>
        <v>513734</v>
      </c>
      <c r="G169" s="848">
        <v>513734</v>
      </c>
      <c r="H169" s="848">
        <v>379372</v>
      </c>
      <c r="I169" s="848">
        <v>13140</v>
      </c>
      <c r="J169" s="835"/>
      <c r="K169" s="1067"/>
      <c r="L169" s="1067"/>
      <c r="M169" s="1067"/>
      <c r="N169" s="1067"/>
      <c r="O169" s="1067"/>
      <c r="P169" s="1067"/>
      <c r="Q169" s="1067"/>
      <c r="R169" s="1068">
        <f>F169+K169</f>
        <v>513734</v>
      </c>
    </row>
    <row r="170" spans="1:18" s="77" customFormat="1" ht="15.6" x14ac:dyDescent="0.25">
      <c r="A170" s="90"/>
      <c r="B170" s="107" t="s">
        <v>41</v>
      </c>
      <c r="C170" s="95" t="s">
        <v>40</v>
      </c>
      <c r="D170" s="96" t="s">
        <v>39</v>
      </c>
      <c r="E170" s="94" t="s">
        <v>850</v>
      </c>
      <c r="F170" s="815">
        <f t="shared" ref="F170:F177" si="33">G170+J170</f>
        <v>5165832</v>
      </c>
      <c r="G170" s="820">
        <f>4544276+621556</f>
        <v>5165832</v>
      </c>
      <c r="H170" s="816">
        <f>3317614+509472</f>
        <v>3827086</v>
      </c>
      <c r="I170" s="816">
        <v>496787</v>
      </c>
      <c r="J170" s="816"/>
      <c r="K170" s="1057">
        <f t="shared" ref="K170:K183" si="34">N170+L170</f>
        <v>90000</v>
      </c>
      <c r="L170" s="1048"/>
      <c r="M170" s="1048"/>
      <c r="N170" s="1048">
        <v>90000</v>
      </c>
      <c r="O170" s="1048"/>
      <c r="P170" s="1048">
        <v>1000</v>
      </c>
      <c r="Q170" s="1048"/>
      <c r="R170" s="1027">
        <f t="shared" ref="R170:R183" si="35">F170+K170</f>
        <v>5255832</v>
      </c>
    </row>
    <row r="171" spans="1:18" s="77" customFormat="1" ht="15.6" x14ac:dyDescent="0.25">
      <c r="A171" s="90"/>
      <c r="B171" s="107" t="s">
        <v>38</v>
      </c>
      <c r="C171" s="95" t="s">
        <v>37</v>
      </c>
      <c r="D171" s="96" t="s">
        <v>36</v>
      </c>
      <c r="E171" s="94" t="s">
        <v>35</v>
      </c>
      <c r="F171" s="815">
        <f t="shared" si="33"/>
        <v>3159436</v>
      </c>
      <c r="G171" s="820">
        <v>3159436</v>
      </c>
      <c r="H171" s="816">
        <v>2230708</v>
      </c>
      <c r="I171" s="816">
        <v>348500</v>
      </c>
      <c r="J171" s="815"/>
      <c r="K171" s="1057">
        <f t="shared" si="34"/>
        <v>5000</v>
      </c>
      <c r="L171" s="1048"/>
      <c r="M171" s="1048"/>
      <c r="N171" s="1048">
        <v>5000</v>
      </c>
      <c r="O171" s="1057"/>
      <c r="P171" s="1048">
        <f>O171</f>
        <v>0</v>
      </c>
      <c r="Q171" s="1048"/>
      <c r="R171" s="1027">
        <f t="shared" si="35"/>
        <v>3164436</v>
      </c>
    </row>
    <row r="172" spans="1:18" s="77" customFormat="1" ht="18" customHeight="1" x14ac:dyDescent="0.25">
      <c r="A172" s="90"/>
      <c r="B172" s="107" t="s">
        <v>522</v>
      </c>
      <c r="C172" s="95" t="s">
        <v>523</v>
      </c>
      <c r="D172" s="96" t="s">
        <v>36</v>
      </c>
      <c r="E172" s="94" t="s">
        <v>524</v>
      </c>
      <c r="F172" s="815">
        <f t="shared" si="33"/>
        <v>324737</v>
      </c>
      <c r="G172" s="820">
        <v>324737</v>
      </c>
      <c r="H172" s="816">
        <v>208686</v>
      </c>
      <c r="I172" s="816">
        <v>70140</v>
      </c>
      <c r="J172" s="815"/>
      <c r="K172" s="1057">
        <f t="shared" si="34"/>
        <v>0</v>
      </c>
      <c r="L172" s="1048"/>
      <c r="M172" s="1048"/>
      <c r="N172" s="1057"/>
      <c r="O172" s="1058"/>
      <c r="P172" s="1059"/>
      <c r="Q172" s="1059"/>
      <c r="R172" s="1027">
        <f t="shared" si="35"/>
        <v>324737</v>
      </c>
    </row>
    <row r="173" spans="1:18" s="77" customFormat="1" ht="31.5" customHeight="1" x14ac:dyDescent="0.25">
      <c r="A173" s="90"/>
      <c r="B173" s="107" t="s">
        <v>34</v>
      </c>
      <c r="C173" s="95" t="s">
        <v>33</v>
      </c>
      <c r="D173" s="96" t="s">
        <v>32</v>
      </c>
      <c r="E173" s="94" t="s">
        <v>31</v>
      </c>
      <c r="F173" s="815">
        <f t="shared" si="33"/>
        <v>8461711</v>
      </c>
      <c r="G173" s="820">
        <f>7713711+500000+248000</f>
        <v>8461711</v>
      </c>
      <c r="H173" s="816">
        <v>4662469</v>
      </c>
      <c r="I173" s="816">
        <f>1850617+500000-38000-60000-402000</f>
        <v>1850617</v>
      </c>
      <c r="J173" s="816"/>
      <c r="K173" s="1057">
        <f t="shared" si="34"/>
        <v>19440</v>
      </c>
      <c r="L173" s="1048"/>
      <c r="M173" s="1048"/>
      <c r="N173" s="1048">
        <v>19440</v>
      </c>
      <c r="O173" s="1059"/>
      <c r="P173" s="1059"/>
      <c r="Q173" s="1059"/>
      <c r="R173" s="1027">
        <f t="shared" si="35"/>
        <v>8481151</v>
      </c>
    </row>
    <row r="174" spans="1:18" s="77" customFormat="1" ht="31.2" x14ac:dyDescent="0.25">
      <c r="A174" s="90"/>
      <c r="B174" s="107" t="s">
        <v>30</v>
      </c>
      <c r="C174" s="95" t="s">
        <v>29</v>
      </c>
      <c r="D174" s="96" t="s">
        <v>25</v>
      </c>
      <c r="E174" s="94" t="s">
        <v>28</v>
      </c>
      <c r="F174" s="815">
        <f t="shared" si="33"/>
        <v>1074374</v>
      </c>
      <c r="G174" s="820">
        <v>1074374</v>
      </c>
      <c r="H174" s="816">
        <v>825241</v>
      </c>
      <c r="I174" s="816">
        <v>19440</v>
      </c>
      <c r="J174" s="816"/>
      <c r="K174" s="1057">
        <f t="shared" si="34"/>
        <v>0</v>
      </c>
      <c r="L174" s="1059"/>
      <c r="M174" s="1059"/>
      <c r="N174" s="1059"/>
      <c r="O174" s="1059"/>
      <c r="P174" s="1059">
        <f>O174</f>
        <v>0</v>
      </c>
      <c r="Q174" s="1059">
        <f>O174</f>
        <v>0</v>
      </c>
      <c r="R174" s="1027">
        <f t="shared" si="35"/>
        <v>1074374</v>
      </c>
    </row>
    <row r="175" spans="1:18" s="77" customFormat="1" ht="15.6" x14ac:dyDescent="0.25">
      <c r="A175" s="90"/>
      <c r="B175" s="107" t="s">
        <v>27</v>
      </c>
      <c r="C175" s="95" t="s">
        <v>26</v>
      </c>
      <c r="D175" s="96" t="s">
        <v>25</v>
      </c>
      <c r="E175" s="94" t="s">
        <v>24</v>
      </c>
      <c r="F175" s="815">
        <f t="shared" si="33"/>
        <v>334644</v>
      </c>
      <c r="G175" s="820">
        <f>61400+85000+188244</f>
        <v>334644</v>
      </c>
      <c r="H175" s="816"/>
      <c r="I175" s="816"/>
      <c r="J175" s="815"/>
      <c r="K175" s="1057">
        <f t="shared" si="34"/>
        <v>0</v>
      </c>
      <c r="L175" s="1058"/>
      <c r="M175" s="1058"/>
      <c r="N175" s="1058"/>
      <c r="O175" s="1058"/>
      <c r="P175" s="1058"/>
      <c r="Q175" s="1058"/>
      <c r="R175" s="1027">
        <f t="shared" si="35"/>
        <v>334644</v>
      </c>
    </row>
    <row r="176" spans="1:18" s="77" customFormat="1" ht="35.25" customHeight="1" x14ac:dyDescent="0.25">
      <c r="A176" s="90"/>
      <c r="B176" s="107" t="s">
        <v>1089</v>
      </c>
      <c r="C176" s="95" t="s">
        <v>1090</v>
      </c>
      <c r="D176" s="96" t="s">
        <v>25</v>
      </c>
      <c r="E176" s="94" t="s">
        <v>1091</v>
      </c>
      <c r="F176" s="815">
        <f t="shared" si="33"/>
        <v>48000</v>
      </c>
      <c r="G176" s="820">
        <v>48000</v>
      </c>
      <c r="H176" s="816"/>
      <c r="I176" s="816"/>
      <c r="J176" s="816"/>
      <c r="K176" s="1057">
        <f t="shared" si="34"/>
        <v>0</v>
      </c>
      <c r="L176" s="1059"/>
      <c r="M176" s="1059"/>
      <c r="N176" s="1059"/>
      <c r="O176" s="1059"/>
      <c r="P176" s="1059"/>
      <c r="Q176" s="1059"/>
      <c r="R176" s="1027">
        <f t="shared" si="35"/>
        <v>48000</v>
      </c>
    </row>
    <row r="177" spans="1:19" s="77" customFormat="1" ht="21" customHeight="1" thickBot="1" x14ac:dyDescent="0.3">
      <c r="A177" s="90"/>
      <c r="B177" s="108" t="s">
        <v>19</v>
      </c>
      <c r="C177" s="118" t="s">
        <v>18</v>
      </c>
      <c r="D177" s="119" t="s">
        <v>17</v>
      </c>
      <c r="E177" s="120" t="s">
        <v>16</v>
      </c>
      <c r="F177" s="846">
        <f t="shared" si="33"/>
        <v>15000</v>
      </c>
      <c r="G177" s="828">
        <v>15000</v>
      </c>
      <c r="H177" s="829"/>
      <c r="I177" s="829"/>
      <c r="J177" s="829"/>
      <c r="K177" s="1071">
        <f t="shared" si="34"/>
        <v>0</v>
      </c>
      <c r="L177" s="1075"/>
      <c r="M177" s="1075"/>
      <c r="N177" s="1075"/>
      <c r="O177" s="1075"/>
      <c r="P177" s="1075"/>
      <c r="Q177" s="1075"/>
      <c r="R177" s="1064">
        <f t="shared" si="35"/>
        <v>15000</v>
      </c>
    </row>
    <row r="178" spans="1:19" s="77" customFormat="1" ht="19.5" customHeight="1" x14ac:dyDescent="0.25">
      <c r="A178" s="90"/>
      <c r="B178" s="486" t="s">
        <v>526</v>
      </c>
      <c r="C178" s="487"/>
      <c r="D178" s="488"/>
      <c r="E178" s="489" t="s">
        <v>15</v>
      </c>
      <c r="F178" s="849">
        <f>F179</f>
        <v>2568820</v>
      </c>
      <c r="G178" s="850">
        <f t="shared" ref="G178:Q178" si="36">G179</f>
        <v>2468820</v>
      </c>
      <c r="H178" s="849">
        <f t="shared" si="36"/>
        <v>1875516</v>
      </c>
      <c r="I178" s="849">
        <f t="shared" si="36"/>
        <v>81385</v>
      </c>
      <c r="J178" s="849">
        <f t="shared" si="36"/>
        <v>0</v>
      </c>
      <c r="K178" s="1076">
        <f t="shared" si="36"/>
        <v>0</v>
      </c>
      <c r="L178" s="1076">
        <f t="shared" si="36"/>
        <v>0</v>
      </c>
      <c r="M178" s="1076">
        <f t="shared" si="36"/>
        <v>0</v>
      </c>
      <c r="N178" s="1076">
        <f t="shared" si="36"/>
        <v>0</v>
      </c>
      <c r="O178" s="1076">
        <f t="shared" si="36"/>
        <v>0</v>
      </c>
      <c r="P178" s="1076">
        <f t="shared" si="36"/>
        <v>0</v>
      </c>
      <c r="Q178" s="1076">
        <f t="shared" si="36"/>
        <v>0</v>
      </c>
      <c r="R178" s="1050">
        <f t="shared" si="35"/>
        <v>2568820</v>
      </c>
    </row>
    <row r="179" spans="1:19" s="77" customFormat="1" ht="18.75" customHeight="1" thickBot="1" x14ac:dyDescent="0.3">
      <c r="A179" s="90"/>
      <c r="B179" s="433" t="s">
        <v>527</v>
      </c>
      <c r="C179" s="434"/>
      <c r="D179" s="466"/>
      <c r="E179" s="484" t="s">
        <v>15</v>
      </c>
      <c r="F179" s="812">
        <f>F180+F183+F181+F182</f>
        <v>2568820</v>
      </c>
      <c r="G179" s="834">
        <f t="shared" ref="G179:R179" si="37">G180+G183+G181+G182</f>
        <v>2468820</v>
      </c>
      <c r="H179" s="812">
        <f t="shared" si="37"/>
        <v>1875516</v>
      </c>
      <c r="I179" s="812">
        <f t="shared" si="37"/>
        <v>81385</v>
      </c>
      <c r="J179" s="812">
        <f t="shared" si="37"/>
        <v>0</v>
      </c>
      <c r="K179" s="1051">
        <f t="shared" si="37"/>
        <v>0</v>
      </c>
      <c r="L179" s="1051">
        <f t="shared" si="37"/>
        <v>0</v>
      </c>
      <c r="M179" s="1051">
        <f t="shared" si="37"/>
        <v>0</v>
      </c>
      <c r="N179" s="1051">
        <f t="shared" si="37"/>
        <v>0</v>
      </c>
      <c r="O179" s="1051">
        <f t="shared" si="37"/>
        <v>0</v>
      </c>
      <c r="P179" s="1051">
        <f t="shared" si="37"/>
        <v>0</v>
      </c>
      <c r="Q179" s="1051">
        <f t="shared" si="37"/>
        <v>0</v>
      </c>
      <c r="R179" s="1052">
        <f t="shared" si="37"/>
        <v>2568820</v>
      </c>
    </row>
    <row r="180" spans="1:19" s="77" customFormat="1" ht="31.5" customHeight="1" x14ac:dyDescent="0.25">
      <c r="A180" s="90"/>
      <c r="B180" s="485" t="s">
        <v>528</v>
      </c>
      <c r="C180" s="481" t="s">
        <v>44</v>
      </c>
      <c r="D180" s="482" t="s">
        <v>43</v>
      </c>
      <c r="E180" s="483" t="s">
        <v>580</v>
      </c>
      <c r="F180" s="835">
        <f>G180+J180</f>
        <v>2468820</v>
      </c>
      <c r="G180" s="851">
        <f>2268150+200670</f>
        <v>2468820</v>
      </c>
      <c r="H180" s="851">
        <f>1711032+164484</f>
        <v>1875516</v>
      </c>
      <c r="I180" s="852">
        <v>81385</v>
      </c>
      <c r="J180" s="852"/>
      <c r="K180" s="1067">
        <f t="shared" si="34"/>
        <v>0</v>
      </c>
      <c r="L180" s="1077"/>
      <c r="M180" s="1077"/>
      <c r="N180" s="1077"/>
      <c r="O180" s="1077"/>
      <c r="P180" s="1077"/>
      <c r="Q180" s="1077"/>
      <c r="R180" s="1068">
        <f t="shared" si="35"/>
        <v>2468820</v>
      </c>
    </row>
    <row r="181" spans="1:19" s="77" customFormat="1" ht="16.2" thickBot="1" x14ac:dyDescent="0.3">
      <c r="A181" s="90"/>
      <c r="B181" s="107" t="s">
        <v>529</v>
      </c>
      <c r="C181" s="95" t="s">
        <v>530</v>
      </c>
      <c r="D181" s="96" t="s">
        <v>236</v>
      </c>
      <c r="E181" s="94" t="s">
        <v>531</v>
      </c>
      <c r="F181" s="816">
        <v>100000</v>
      </c>
      <c r="G181" s="828"/>
      <c r="H181" s="829"/>
      <c r="I181" s="829"/>
      <c r="J181" s="829"/>
      <c r="K181" s="1078">
        <f t="shared" si="34"/>
        <v>0</v>
      </c>
      <c r="L181" s="1075"/>
      <c r="M181" s="1075"/>
      <c r="N181" s="1075"/>
      <c r="O181" s="1075"/>
      <c r="P181" s="1075"/>
      <c r="Q181" s="1075"/>
      <c r="R181" s="1027">
        <f t="shared" si="35"/>
        <v>100000</v>
      </c>
    </row>
    <row r="182" spans="1:19" s="77" customFormat="1" ht="16.5" hidden="1" customHeight="1" thickBot="1" x14ac:dyDescent="0.3">
      <c r="A182" s="90"/>
      <c r="B182" s="108" t="s">
        <v>14</v>
      </c>
      <c r="C182" s="118" t="s">
        <v>13</v>
      </c>
      <c r="D182" s="96" t="s">
        <v>7</v>
      </c>
      <c r="E182" s="100" t="s">
        <v>12</v>
      </c>
      <c r="F182" s="815">
        <f>G182+J182</f>
        <v>0</v>
      </c>
      <c r="G182" s="828"/>
      <c r="H182" s="829"/>
      <c r="I182" s="829"/>
      <c r="J182" s="829"/>
      <c r="K182" s="1071">
        <f t="shared" si="34"/>
        <v>0</v>
      </c>
      <c r="L182" s="1063"/>
      <c r="M182" s="1075"/>
      <c r="N182" s="1075"/>
      <c r="O182" s="1075"/>
      <c r="P182" s="1075"/>
      <c r="Q182" s="1063"/>
      <c r="R182" s="1027">
        <f t="shared" si="35"/>
        <v>0</v>
      </c>
    </row>
    <row r="183" spans="1:19" s="77" customFormat="1" ht="32.25" hidden="1" customHeight="1" thickBot="1" x14ac:dyDescent="0.3">
      <c r="A183" s="90"/>
      <c r="B183" s="107" t="s">
        <v>9</v>
      </c>
      <c r="C183" s="95" t="s">
        <v>8</v>
      </c>
      <c r="D183" s="96" t="s">
        <v>7</v>
      </c>
      <c r="E183" s="94" t="s">
        <v>6</v>
      </c>
      <c r="F183" s="815">
        <f>G183+J183</f>
        <v>0</v>
      </c>
      <c r="G183" s="828"/>
      <c r="H183" s="829"/>
      <c r="I183" s="829"/>
      <c r="J183" s="829"/>
      <c r="K183" s="1071">
        <f t="shared" si="34"/>
        <v>0</v>
      </c>
      <c r="L183" s="1063"/>
      <c r="M183" s="1075"/>
      <c r="N183" s="1075"/>
      <c r="O183" s="1075"/>
      <c r="P183" s="1075"/>
      <c r="Q183" s="1063"/>
      <c r="R183" s="1027">
        <f t="shared" si="35"/>
        <v>0</v>
      </c>
    </row>
    <row r="184" spans="1:19" s="77" customFormat="1" ht="23.25" customHeight="1" thickBot="1" x14ac:dyDescent="0.3">
      <c r="A184" s="90"/>
      <c r="B184" s="128" t="s">
        <v>532</v>
      </c>
      <c r="C184" s="129" t="s">
        <v>532</v>
      </c>
      <c r="D184" s="130" t="s">
        <v>532</v>
      </c>
      <c r="E184" s="131" t="s">
        <v>629</v>
      </c>
      <c r="F184" s="1042">
        <f t="shared" ref="F184:R184" si="38">F11+F89+F167+F178+F131</f>
        <v>233432813.80000001</v>
      </c>
      <c r="G184" s="1043">
        <f t="shared" si="38"/>
        <v>233280813.80000001</v>
      </c>
      <c r="H184" s="1042">
        <f t="shared" si="38"/>
        <v>130848481</v>
      </c>
      <c r="I184" s="1042">
        <f t="shared" si="38"/>
        <v>22172891</v>
      </c>
      <c r="J184" s="1042">
        <f t="shared" si="38"/>
        <v>52000</v>
      </c>
      <c r="K184" s="1044">
        <f t="shared" si="38"/>
        <v>72508531.510000005</v>
      </c>
      <c r="L184" s="1044">
        <f t="shared" si="38"/>
        <v>16994012.199999999</v>
      </c>
      <c r="M184" s="1044">
        <f t="shared" si="38"/>
        <v>0</v>
      </c>
      <c r="N184" s="1044">
        <f t="shared" si="38"/>
        <v>2727277.5100000002</v>
      </c>
      <c r="O184" s="1044">
        <f t="shared" si="38"/>
        <v>0</v>
      </c>
      <c r="P184" s="1044">
        <f t="shared" si="38"/>
        <v>30100</v>
      </c>
      <c r="Q184" s="1044">
        <f t="shared" si="38"/>
        <v>69781254</v>
      </c>
      <c r="R184" s="1045">
        <f t="shared" si="38"/>
        <v>305941345.30999994</v>
      </c>
      <c r="S184" s="117">
        <f>R90/R184*100</f>
        <v>44.035067307915284</v>
      </c>
    </row>
    <row r="185" spans="1:19" s="77" customFormat="1" ht="16.2" thickBot="1" x14ac:dyDescent="0.3">
      <c r="A185" s="90"/>
      <c r="B185" s="128" t="s">
        <v>532</v>
      </c>
      <c r="C185" s="129" t="s">
        <v>532</v>
      </c>
      <c r="D185" s="130" t="s">
        <v>532</v>
      </c>
      <c r="E185" s="131" t="s">
        <v>533</v>
      </c>
      <c r="F185" s="1042">
        <f>F91+F95+F133+F93</f>
        <v>35646500</v>
      </c>
      <c r="G185" s="1042">
        <f t="shared" ref="G185:R185" si="39">G91+G95+G133+G93</f>
        <v>35646500</v>
      </c>
      <c r="H185" s="1042">
        <f t="shared" si="39"/>
        <v>29218443</v>
      </c>
      <c r="I185" s="1042">
        <f t="shared" si="39"/>
        <v>0</v>
      </c>
      <c r="J185" s="1042">
        <f t="shared" si="39"/>
        <v>0</v>
      </c>
      <c r="K185" s="1042">
        <f t="shared" si="39"/>
        <v>52902225</v>
      </c>
      <c r="L185" s="1042">
        <f t="shared" si="39"/>
        <v>1014400</v>
      </c>
      <c r="M185" s="1042">
        <f t="shared" si="39"/>
        <v>0</v>
      </c>
      <c r="N185" s="1042">
        <f t="shared" si="39"/>
        <v>0</v>
      </c>
      <c r="O185" s="1042">
        <f t="shared" si="39"/>
        <v>0</v>
      </c>
      <c r="P185" s="1042">
        <f t="shared" si="39"/>
        <v>0</v>
      </c>
      <c r="Q185" s="1042">
        <f t="shared" si="39"/>
        <v>52902225</v>
      </c>
      <c r="R185" s="1257">
        <f t="shared" si="39"/>
        <v>88548725</v>
      </c>
      <c r="S185" s="117"/>
    </row>
    <row r="186" spans="1:19" s="77" customFormat="1" ht="16.2" thickBot="1" x14ac:dyDescent="0.3">
      <c r="A186" s="90"/>
      <c r="B186" s="128" t="s">
        <v>532</v>
      </c>
      <c r="C186" s="129" t="s">
        <v>532</v>
      </c>
      <c r="D186" s="130" t="s">
        <v>532</v>
      </c>
      <c r="E186" s="131" t="s">
        <v>534</v>
      </c>
      <c r="F186" s="853">
        <f>F15+F134+F92</f>
        <v>7358265</v>
      </c>
      <c r="G186" s="853">
        <f t="shared" ref="G186:R186" si="40">G15+G134+G92</f>
        <v>7358265</v>
      </c>
      <c r="H186" s="853">
        <f t="shared" si="40"/>
        <v>1708672</v>
      </c>
      <c r="I186" s="853">
        <f t="shared" si="40"/>
        <v>15356</v>
      </c>
      <c r="J186" s="853">
        <f t="shared" si="40"/>
        <v>0</v>
      </c>
      <c r="K186" s="853">
        <f t="shared" si="40"/>
        <v>372520</v>
      </c>
      <c r="L186" s="853">
        <f t="shared" si="40"/>
        <v>372520</v>
      </c>
      <c r="M186" s="853">
        <f t="shared" si="40"/>
        <v>0</v>
      </c>
      <c r="N186" s="853">
        <f t="shared" si="40"/>
        <v>0</v>
      </c>
      <c r="O186" s="853">
        <f t="shared" si="40"/>
        <v>0</v>
      </c>
      <c r="P186" s="853">
        <f t="shared" si="40"/>
        <v>0</v>
      </c>
      <c r="Q186" s="853">
        <f t="shared" si="40"/>
        <v>372520</v>
      </c>
      <c r="R186" s="1258">
        <f t="shared" si="40"/>
        <v>7730785</v>
      </c>
      <c r="S186" s="117"/>
    </row>
    <row r="187" spans="1:19" s="77" customFormat="1" ht="16.2" thickBot="1" x14ac:dyDescent="0.3">
      <c r="A187" s="90"/>
      <c r="B187" s="128" t="s">
        <v>532</v>
      </c>
      <c r="C187" s="129" t="s">
        <v>532</v>
      </c>
      <c r="D187" s="130" t="s">
        <v>532</v>
      </c>
      <c r="E187" s="548" t="s">
        <v>1092</v>
      </c>
      <c r="F187" s="853">
        <f>F136+F97</f>
        <v>1404839</v>
      </c>
      <c r="G187" s="853">
        <f t="shared" ref="G187:R187" si="41">G136+G97</f>
        <v>1404839</v>
      </c>
      <c r="H187" s="853">
        <f t="shared" si="41"/>
        <v>906803</v>
      </c>
      <c r="I187" s="853">
        <f t="shared" si="41"/>
        <v>144545</v>
      </c>
      <c r="J187" s="853">
        <f t="shared" si="41"/>
        <v>0</v>
      </c>
      <c r="K187" s="853">
        <f t="shared" si="41"/>
        <v>0</v>
      </c>
      <c r="L187" s="853">
        <f t="shared" si="41"/>
        <v>0</v>
      </c>
      <c r="M187" s="853">
        <f t="shared" si="41"/>
        <v>0</v>
      </c>
      <c r="N187" s="853">
        <f t="shared" si="41"/>
        <v>0</v>
      </c>
      <c r="O187" s="853">
        <f t="shared" si="41"/>
        <v>0</v>
      </c>
      <c r="P187" s="853">
        <f t="shared" si="41"/>
        <v>0</v>
      </c>
      <c r="Q187" s="853">
        <f t="shared" si="41"/>
        <v>0</v>
      </c>
      <c r="R187" s="1258">
        <f t="shared" si="41"/>
        <v>1404839</v>
      </c>
      <c r="S187" s="117"/>
    </row>
    <row r="188" spans="1:19" s="77" customFormat="1" ht="31.8" thickBot="1" x14ac:dyDescent="0.3">
      <c r="A188" s="90"/>
      <c r="B188" s="128" t="s">
        <v>532</v>
      </c>
      <c r="C188" s="129" t="s">
        <v>532</v>
      </c>
      <c r="D188" s="130" t="s">
        <v>532</v>
      </c>
      <c r="E188" s="312" t="s">
        <v>736</v>
      </c>
      <c r="F188" s="1042">
        <f t="shared" ref="F188:M188" si="42">F94+F96</f>
        <v>0</v>
      </c>
      <c r="G188" s="1042">
        <f t="shared" si="42"/>
        <v>0</v>
      </c>
      <c r="H188" s="1042">
        <f t="shared" si="42"/>
        <v>0</v>
      </c>
      <c r="I188" s="1042">
        <f t="shared" si="42"/>
        <v>0</v>
      </c>
      <c r="J188" s="1042">
        <f t="shared" si="42"/>
        <v>0</v>
      </c>
      <c r="K188" s="1042">
        <f t="shared" si="42"/>
        <v>2657693.33</v>
      </c>
      <c r="L188" s="1042">
        <f t="shared" si="42"/>
        <v>0</v>
      </c>
      <c r="M188" s="1042">
        <f t="shared" si="42"/>
        <v>0</v>
      </c>
      <c r="N188" s="1042">
        <f>N94+N96</f>
        <v>1758276.53</v>
      </c>
      <c r="O188" s="1042">
        <f>O94+O96</f>
        <v>0</v>
      </c>
      <c r="P188" s="1042">
        <f>P94+P96</f>
        <v>0</v>
      </c>
      <c r="Q188" s="1042">
        <f>Q94+Q96</f>
        <v>899416.8</v>
      </c>
      <c r="R188" s="1257">
        <f>R94+R96</f>
        <v>2657693.33</v>
      </c>
      <c r="S188" s="117"/>
    </row>
    <row r="189" spans="1:19" s="77" customFormat="1" ht="22.2" customHeight="1" thickBot="1" x14ac:dyDescent="0.3">
      <c r="A189" s="90"/>
      <c r="B189" s="128" t="s">
        <v>532</v>
      </c>
      <c r="C189" s="129" t="s">
        <v>532</v>
      </c>
      <c r="D189" s="130" t="s">
        <v>532</v>
      </c>
      <c r="E189" s="462" t="s">
        <v>1167</v>
      </c>
      <c r="F189" s="1042">
        <f>F135</f>
        <v>540017</v>
      </c>
      <c r="G189" s="1042">
        <f t="shared" ref="G189:R189" si="43">G135</f>
        <v>540017</v>
      </c>
      <c r="H189" s="1042">
        <f t="shared" si="43"/>
        <v>375798</v>
      </c>
      <c r="I189" s="1042">
        <f t="shared" si="43"/>
        <v>81543</v>
      </c>
      <c r="J189" s="1042">
        <f t="shared" si="43"/>
        <v>0</v>
      </c>
      <c r="K189" s="1042">
        <f t="shared" si="43"/>
        <v>0</v>
      </c>
      <c r="L189" s="1042">
        <f t="shared" si="43"/>
        <v>0</v>
      </c>
      <c r="M189" s="1042">
        <f t="shared" si="43"/>
        <v>0</v>
      </c>
      <c r="N189" s="1042">
        <f t="shared" si="43"/>
        <v>0</v>
      </c>
      <c r="O189" s="1042">
        <f t="shared" si="43"/>
        <v>0</v>
      </c>
      <c r="P189" s="1042">
        <f t="shared" si="43"/>
        <v>0</v>
      </c>
      <c r="Q189" s="1042">
        <f t="shared" si="43"/>
        <v>0</v>
      </c>
      <c r="R189" s="1257">
        <f t="shared" si="43"/>
        <v>540017</v>
      </c>
    </row>
    <row r="190" spans="1:19" s="77" customFormat="1" ht="15.6" x14ac:dyDescent="0.25">
      <c r="A190" s="90"/>
      <c r="B190" s="414"/>
      <c r="C190" s="415"/>
      <c r="D190" s="415"/>
      <c r="E190" s="416"/>
      <c r="F190" s="721">
        <v>233387219.80000001</v>
      </c>
      <c r="G190" s="721">
        <v>233235219.80000001</v>
      </c>
      <c r="H190" s="721">
        <v>130848481</v>
      </c>
      <c r="I190" s="721">
        <v>22361135</v>
      </c>
      <c r="J190" s="721">
        <v>52000</v>
      </c>
      <c r="K190" s="1079">
        <v>72454131.510000005</v>
      </c>
      <c r="L190" s="1079">
        <v>16939612.199999999</v>
      </c>
      <c r="M190" s="1079">
        <v>0</v>
      </c>
      <c r="N190" s="1079">
        <v>2727277.5100000002</v>
      </c>
      <c r="O190" s="1079">
        <v>0</v>
      </c>
      <c r="P190" s="1079">
        <v>30100</v>
      </c>
      <c r="Q190" s="1079">
        <v>69726854</v>
      </c>
      <c r="R190" s="1080">
        <v>305841351.30999994</v>
      </c>
    </row>
    <row r="191" spans="1:19" s="77" customFormat="1" ht="15.6" x14ac:dyDescent="0.25">
      <c r="A191" s="90"/>
      <c r="B191" s="414"/>
      <c r="C191" s="415"/>
      <c r="D191" s="415"/>
      <c r="E191" s="416"/>
      <c r="F191" s="721">
        <f>F184-F190</f>
        <v>45594</v>
      </c>
      <c r="G191" s="721">
        <f t="shared" ref="G191:R191" si="44">G184-G190</f>
        <v>45594</v>
      </c>
      <c r="H191" s="721">
        <f t="shared" si="44"/>
        <v>0</v>
      </c>
      <c r="I191" s="721">
        <f t="shared" si="44"/>
        <v>-188244</v>
      </c>
      <c r="J191" s="721">
        <f t="shared" si="44"/>
        <v>0</v>
      </c>
      <c r="K191" s="1028">
        <f t="shared" si="44"/>
        <v>54400</v>
      </c>
      <c r="L191" s="1028">
        <f t="shared" si="44"/>
        <v>54400</v>
      </c>
      <c r="M191" s="1028">
        <f t="shared" si="44"/>
        <v>0</v>
      </c>
      <c r="N191" s="1028">
        <f t="shared" si="44"/>
        <v>0</v>
      </c>
      <c r="O191" s="1028">
        <f t="shared" si="44"/>
        <v>0</v>
      </c>
      <c r="P191" s="1028">
        <f t="shared" si="44"/>
        <v>0</v>
      </c>
      <c r="Q191" s="1028">
        <f t="shared" si="44"/>
        <v>54400</v>
      </c>
      <c r="R191" s="1028">
        <f t="shared" si="44"/>
        <v>99994</v>
      </c>
    </row>
    <row r="192" spans="1:19" s="77" customFormat="1" ht="15.6" x14ac:dyDescent="0.25">
      <c r="A192" s="90"/>
      <c r="B192" s="414"/>
      <c r="C192" s="415"/>
      <c r="D192" s="415"/>
      <c r="E192" s="416"/>
      <c r="F192" s="721"/>
      <c r="G192" s="721"/>
      <c r="H192" s="721"/>
      <c r="I192" s="721"/>
      <c r="J192" s="721"/>
      <c r="K192" s="1028"/>
      <c r="L192" s="1028"/>
      <c r="M192" s="1028"/>
      <c r="N192" s="1028"/>
      <c r="O192" s="1028"/>
      <c r="P192" s="1028"/>
      <c r="Q192" s="1028"/>
      <c r="R192" s="1028">
        <f>R185-'Дод 1'!C90</f>
        <v>0</v>
      </c>
    </row>
    <row r="193" spans="1:19" s="77" customFormat="1" ht="28.95" customHeight="1" x14ac:dyDescent="0.3">
      <c r="A193" s="90"/>
      <c r="B193" s="71"/>
      <c r="C193" s="90"/>
      <c r="D193" s="90"/>
      <c r="E193" s="132"/>
      <c r="F193" s="133">
        <f>F191-'Зм3.1'!F210</f>
        <v>0</v>
      </c>
      <c r="G193" s="133">
        <f>G191-'Зм3.1'!G210</f>
        <v>0</v>
      </c>
      <c r="H193" s="133">
        <f>H191-'Зм3.1'!H210</f>
        <v>0</v>
      </c>
      <c r="I193" s="133">
        <f>I191-'Зм3.1'!I210</f>
        <v>-99994</v>
      </c>
      <c r="J193" s="133">
        <f>J191-'Зм3.1'!J210</f>
        <v>0</v>
      </c>
      <c r="K193" s="1086">
        <f>K191-'Зм3.1'!K210</f>
        <v>0</v>
      </c>
      <c r="L193" s="1086">
        <f>L191-'Зм3.1'!L210</f>
        <v>0</v>
      </c>
      <c r="M193" s="1086">
        <f>M191-'Зм3.1'!M210</f>
        <v>0</v>
      </c>
      <c r="N193" s="1086">
        <f>N191-'Зм3.1'!N210</f>
        <v>0</v>
      </c>
      <c r="O193" s="1086">
        <f>O191-'Зм3.1'!O210</f>
        <v>0</v>
      </c>
      <c r="P193" s="1086">
        <f>P191-'Зм3.1'!P210</f>
        <v>0</v>
      </c>
      <c r="Q193" s="1086"/>
      <c r="R193" s="1086">
        <f>R191-'Зм3.1'!R210</f>
        <v>0</v>
      </c>
    </row>
    <row r="194" spans="1:19" ht="3" customHeight="1" x14ac:dyDescent="0.25">
      <c r="F194" s="134"/>
      <c r="G194" s="134"/>
      <c r="K194" s="186"/>
      <c r="R194" s="188"/>
      <c r="S194" s="74"/>
    </row>
    <row r="195" spans="1:19" ht="15.6" x14ac:dyDescent="0.3">
      <c r="B195" s="171" t="s">
        <v>1</v>
      </c>
      <c r="C195" s="172"/>
      <c r="D195" s="172"/>
      <c r="E195" s="172"/>
      <c r="K195" s="189" t="s">
        <v>650</v>
      </c>
      <c r="R195" s="854"/>
    </row>
  </sheetData>
  <mergeCells count="16">
    <mergeCell ref="B5:R5"/>
    <mergeCell ref="B7:B9"/>
    <mergeCell ref="C7:C9"/>
    <mergeCell ref="D7:D9"/>
    <mergeCell ref="E7:E9"/>
    <mergeCell ref="F7:J7"/>
    <mergeCell ref="K7:Q7"/>
    <mergeCell ref="R7:R9"/>
    <mergeCell ref="F8:F9"/>
    <mergeCell ref="Q8:Q9"/>
    <mergeCell ref="G8:G9"/>
    <mergeCell ref="H8:I8"/>
    <mergeCell ref="J8:J9"/>
    <mergeCell ref="K8:K9"/>
    <mergeCell ref="M8:M9"/>
    <mergeCell ref="O8:P8"/>
  </mergeCells>
  <printOptions horizontalCentered="1"/>
  <pageMargins left="0.39370078740157483" right="0.39370078740157483" top="1.1811023622047245" bottom="0.39370078740157483" header="0.51181102362204722" footer="0.31496062992125984"/>
  <pageSetup paperSize="9" scale="50" fitToHeight="5" orientation="landscape" horizontalDpi="360" verticalDpi="360" r:id="rId1"/>
  <headerFooter alignWithMargins="0">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pageSetUpPr fitToPage="1"/>
  </sheetPr>
  <dimension ref="A1:S225"/>
  <sheetViews>
    <sheetView showZeros="0" view="pageBreakPreview" topLeftCell="D1" zoomScale="80" zoomScaleNormal="89" zoomScaleSheetLayoutView="80" workbookViewId="0">
      <selection activeCell="L4" sqref="L4"/>
    </sheetView>
  </sheetViews>
  <sheetFormatPr defaultColWidth="3.33203125" defaultRowHeight="14.4" x14ac:dyDescent="0.3"/>
  <cols>
    <col min="1" max="1" width="0" hidden="1" customWidth="1"/>
    <col min="2" max="2" width="11.44140625" customWidth="1"/>
    <col min="3" max="3" width="10.44140625" customWidth="1"/>
    <col min="4" max="4" width="10.6640625" customWidth="1"/>
    <col min="5" max="5" width="52.88671875" customWidth="1"/>
    <col min="6" max="6" width="14.44140625" customWidth="1"/>
    <col min="7" max="7" width="15.44140625" customWidth="1"/>
    <col min="8" max="8" width="13.33203125" customWidth="1"/>
    <col min="9" max="9" width="13.44140625" customWidth="1"/>
    <col min="10" max="10" width="9.6640625" customWidth="1"/>
    <col min="11" max="11" width="13.88671875" customWidth="1"/>
    <col min="12" max="12" width="13.44140625" customWidth="1"/>
    <col min="13" max="13" width="0" hidden="1" customWidth="1"/>
    <col min="14" max="14" width="13.88671875" customWidth="1"/>
    <col min="15" max="15" width="10.109375" customWidth="1"/>
    <col min="16" max="16" width="11.88671875" customWidth="1"/>
    <col min="17" max="17" width="13.44140625" customWidth="1"/>
    <col min="18" max="18" width="13.88671875" customWidth="1"/>
    <col min="19" max="19" width="0.33203125" hidden="1" customWidth="1"/>
    <col min="20" max="233" width="7.88671875" customWidth="1"/>
    <col min="235" max="235" width="0" hidden="1" customWidth="1"/>
    <col min="236" max="236" width="11.44140625" customWidth="1"/>
    <col min="237" max="237" width="10.44140625" customWidth="1"/>
    <col min="238" max="238" width="10.6640625" customWidth="1"/>
    <col min="239" max="239" width="52.88671875" customWidth="1"/>
    <col min="240" max="240" width="14.44140625" customWidth="1"/>
    <col min="241" max="241" width="15.44140625" customWidth="1"/>
    <col min="242" max="242" width="13.33203125" customWidth="1"/>
    <col min="243" max="243" width="10.88671875" customWidth="1"/>
    <col min="244" max="244" width="7.88671875" customWidth="1"/>
    <col min="245" max="245" width="13" customWidth="1"/>
    <col min="246" max="246" width="12.44140625" customWidth="1"/>
    <col min="247" max="247" width="0" hidden="1" customWidth="1"/>
    <col min="248" max="248" width="12.44140625" customWidth="1"/>
    <col min="249" max="249" width="9.44140625" customWidth="1"/>
    <col min="250" max="250" width="10" customWidth="1"/>
    <col min="251" max="251" width="12.44140625" customWidth="1"/>
    <col min="252" max="252" width="14.33203125" customWidth="1"/>
    <col min="253" max="259" width="0" hidden="1" customWidth="1"/>
    <col min="260" max="489" width="7.88671875" customWidth="1"/>
    <col min="491" max="491" width="0" hidden="1" customWidth="1"/>
    <col min="492" max="492" width="11.44140625" customWidth="1"/>
    <col min="493" max="493" width="10.44140625" customWidth="1"/>
    <col min="494" max="494" width="10.6640625" customWidth="1"/>
    <col min="495" max="495" width="52.88671875" customWidth="1"/>
    <col min="496" max="496" width="14.44140625" customWidth="1"/>
    <col min="497" max="497" width="15.44140625" customWidth="1"/>
    <col min="498" max="498" width="13.33203125" customWidth="1"/>
    <col min="499" max="499" width="10.88671875" customWidth="1"/>
    <col min="500" max="500" width="7.88671875" customWidth="1"/>
    <col min="501" max="501" width="13" customWidth="1"/>
    <col min="502" max="502" width="12.44140625" customWidth="1"/>
    <col min="503" max="503" width="0" hidden="1" customWidth="1"/>
    <col min="504" max="504" width="12.44140625" customWidth="1"/>
    <col min="505" max="505" width="9.44140625" customWidth="1"/>
    <col min="506" max="506" width="10" customWidth="1"/>
    <col min="507" max="507" width="12.44140625" customWidth="1"/>
    <col min="508" max="508" width="14.33203125" customWidth="1"/>
    <col min="509" max="515" width="0" hidden="1" customWidth="1"/>
    <col min="516" max="745" width="7.88671875" customWidth="1"/>
    <col min="747" max="747" width="0" hidden="1" customWidth="1"/>
    <col min="748" max="748" width="11.44140625" customWidth="1"/>
    <col min="749" max="749" width="10.44140625" customWidth="1"/>
    <col min="750" max="750" width="10.6640625" customWidth="1"/>
    <col min="751" max="751" width="52.88671875" customWidth="1"/>
    <col min="752" max="752" width="14.44140625" customWidth="1"/>
    <col min="753" max="753" width="15.44140625" customWidth="1"/>
    <col min="754" max="754" width="13.33203125" customWidth="1"/>
    <col min="755" max="755" width="10.88671875" customWidth="1"/>
    <col min="756" max="756" width="7.88671875" customWidth="1"/>
    <col min="757" max="757" width="13" customWidth="1"/>
    <col min="758" max="758" width="12.44140625" customWidth="1"/>
    <col min="759" max="759" width="0" hidden="1" customWidth="1"/>
    <col min="760" max="760" width="12.44140625" customWidth="1"/>
    <col min="761" max="761" width="9.44140625" customWidth="1"/>
    <col min="762" max="762" width="10" customWidth="1"/>
    <col min="763" max="763" width="12.44140625" customWidth="1"/>
    <col min="764" max="764" width="14.33203125" customWidth="1"/>
    <col min="765" max="771" width="0" hidden="1" customWidth="1"/>
    <col min="772" max="1001" width="7.88671875" customWidth="1"/>
    <col min="1003" max="1003" width="0" hidden="1" customWidth="1"/>
    <col min="1004" max="1004" width="11.44140625" customWidth="1"/>
    <col min="1005" max="1005" width="10.44140625" customWidth="1"/>
    <col min="1006" max="1006" width="10.6640625" customWidth="1"/>
    <col min="1007" max="1007" width="52.88671875" customWidth="1"/>
    <col min="1008" max="1008" width="14.44140625" customWidth="1"/>
    <col min="1009" max="1009" width="15.44140625" customWidth="1"/>
    <col min="1010" max="1010" width="13.33203125" customWidth="1"/>
    <col min="1011" max="1011" width="10.88671875" customWidth="1"/>
    <col min="1012" max="1012" width="7.88671875" customWidth="1"/>
    <col min="1013" max="1013" width="13" customWidth="1"/>
    <col min="1014" max="1014" width="12.44140625" customWidth="1"/>
    <col min="1015" max="1015" width="0" hidden="1" customWidth="1"/>
    <col min="1016" max="1016" width="12.44140625" customWidth="1"/>
    <col min="1017" max="1017" width="9.44140625" customWidth="1"/>
    <col min="1018" max="1018" width="10" customWidth="1"/>
    <col min="1019" max="1019" width="12.44140625" customWidth="1"/>
    <col min="1020" max="1020" width="14.33203125" customWidth="1"/>
    <col min="1021" max="1027" width="0" hidden="1" customWidth="1"/>
    <col min="1028" max="1257" width="7.88671875" customWidth="1"/>
    <col min="1259" max="1259" width="0" hidden="1" customWidth="1"/>
    <col min="1260" max="1260" width="11.44140625" customWidth="1"/>
    <col min="1261" max="1261" width="10.44140625" customWidth="1"/>
    <col min="1262" max="1262" width="10.6640625" customWidth="1"/>
    <col min="1263" max="1263" width="52.88671875" customWidth="1"/>
    <col min="1264" max="1264" width="14.44140625" customWidth="1"/>
    <col min="1265" max="1265" width="15.44140625" customWidth="1"/>
    <col min="1266" max="1266" width="13.33203125" customWidth="1"/>
    <col min="1267" max="1267" width="10.88671875" customWidth="1"/>
    <col min="1268" max="1268" width="7.88671875" customWidth="1"/>
    <col min="1269" max="1269" width="13" customWidth="1"/>
    <col min="1270" max="1270" width="12.44140625" customWidth="1"/>
    <col min="1271" max="1271" width="0" hidden="1" customWidth="1"/>
    <col min="1272" max="1272" width="12.44140625" customWidth="1"/>
    <col min="1273" max="1273" width="9.44140625" customWidth="1"/>
    <col min="1274" max="1274" width="10" customWidth="1"/>
    <col min="1275" max="1275" width="12.44140625" customWidth="1"/>
    <col min="1276" max="1276" width="14.33203125" customWidth="1"/>
    <col min="1277" max="1283" width="0" hidden="1" customWidth="1"/>
    <col min="1284" max="1513" width="7.88671875" customWidth="1"/>
    <col min="1515" max="1515" width="0" hidden="1" customWidth="1"/>
    <col min="1516" max="1516" width="11.44140625" customWidth="1"/>
    <col min="1517" max="1517" width="10.44140625" customWidth="1"/>
    <col min="1518" max="1518" width="10.6640625" customWidth="1"/>
    <col min="1519" max="1519" width="52.88671875" customWidth="1"/>
    <col min="1520" max="1520" width="14.44140625" customWidth="1"/>
    <col min="1521" max="1521" width="15.44140625" customWidth="1"/>
    <col min="1522" max="1522" width="13.33203125" customWidth="1"/>
    <col min="1523" max="1523" width="10.88671875" customWidth="1"/>
    <col min="1524" max="1524" width="7.88671875" customWidth="1"/>
    <col min="1525" max="1525" width="13" customWidth="1"/>
    <col min="1526" max="1526" width="12.44140625" customWidth="1"/>
    <col min="1527" max="1527" width="0" hidden="1" customWidth="1"/>
    <col min="1528" max="1528" width="12.44140625" customWidth="1"/>
    <col min="1529" max="1529" width="9.44140625" customWidth="1"/>
    <col min="1530" max="1530" width="10" customWidth="1"/>
    <col min="1531" max="1531" width="12.44140625" customWidth="1"/>
    <col min="1532" max="1532" width="14.33203125" customWidth="1"/>
    <col min="1533" max="1539" width="0" hidden="1" customWidth="1"/>
    <col min="1540" max="1769" width="7.88671875" customWidth="1"/>
    <col min="1771" max="1771" width="0" hidden="1" customWidth="1"/>
    <col min="1772" max="1772" width="11.44140625" customWidth="1"/>
    <col min="1773" max="1773" width="10.44140625" customWidth="1"/>
    <col min="1774" max="1774" width="10.6640625" customWidth="1"/>
    <col min="1775" max="1775" width="52.88671875" customWidth="1"/>
    <col min="1776" max="1776" width="14.44140625" customWidth="1"/>
    <col min="1777" max="1777" width="15.44140625" customWidth="1"/>
    <col min="1778" max="1778" width="13.33203125" customWidth="1"/>
    <col min="1779" max="1779" width="10.88671875" customWidth="1"/>
    <col min="1780" max="1780" width="7.88671875" customWidth="1"/>
    <col min="1781" max="1781" width="13" customWidth="1"/>
    <col min="1782" max="1782" width="12.44140625" customWidth="1"/>
    <col min="1783" max="1783" width="0" hidden="1" customWidth="1"/>
    <col min="1784" max="1784" width="12.44140625" customWidth="1"/>
    <col min="1785" max="1785" width="9.44140625" customWidth="1"/>
    <col min="1786" max="1786" width="10" customWidth="1"/>
    <col min="1787" max="1787" width="12.44140625" customWidth="1"/>
    <col min="1788" max="1788" width="14.33203125" customWidth="1"/>
    <col min="1789" max="1795" width="0" hidden="1" customWidth="1"/>
    <col min="1796" max="2025" width="7.88671875" customWidth="1"/>
    <col min="2027" max="2027" width="0" hidden="1" customWidth="1"/>
    <col min="2028" max="2028" width="11.44140625" customWidth="1"/>
    <col min="2029" max="2029" width="10.44140625" customWidth="1"/>
    <col min="2030" max="2030" width="10.6640625" customWidth="1"/>
    <col min="2031" max="2031" width="52.88671875" customWidth="1"/>
    <col min="2032" max="2032" width="14.44140625" customWidth="1"/>
    <col min="2033" max="2033" width="15.44140625" customWidth="1"/>
    <col min="2034" max="2034" width="13.33203125" customWidth="1"/>
    <col min="2035" max="2035" width="10.88671875" customWidth="1"/>
    <col min="2036" max="2036" width="7.88671875" customWidth="1"/>
    <col min="2037" max="2037" width="13" customWidth="1"/>
    <col min="2038" max="2038" width="12.44140625" customWidth="1"/>
    <col min="2039" max="2039" width="0" hidden="1" customWidth="1"/>
    <col min="2040" max="2040" width="12.44140625" customWidth="1"/>
    <col min="2041" max="2041" width="9.44140625" customWidth="1"/>
    <col min="2042" max="2042" width="10" customWidth="1"/>
    <col min="2043" max="2043" width="12.44140625" customWidth="1"/>
    <col min="2044" max="2044" width="14.33203125" customWidth="1"/>
    <col min="2045" max="2051" width="0" hidden="1" customWidth="1"/>
    <col min="2052" max="2281" width="7.88671875" customWidth="1"/>
    <col min="2283" max="2283" width="0" hidden="1" customWidth="1"/>
    <col min="2284" max="2284" width="11.44140625" customWidth="1"/>
    <col min="2285" max="2285" width="10.44140625" customWidth="1"/>
    <col min="2286" max="2286" width="10.6640625" customWidth="1"/>
    <col min="2287" max="2287" width="52.88671875" customWidth="1"/>
    <col min="2288" max="2288" width="14.44140625" customWidth="1"/>
    <col min="2289" max="2289" width="15.44140625" customWidth="1"/>
    <col min="2290" max="2290" width="13.33203125" customWidth="1"/>
    <col min="2291" max="2291" width="10.88671875" customWidth="1"/>
    <col min="2292" max="2292" width="7.88671875" customWidth="1"/>
    <col min="2293" max="2293" width="13" customWidth="1"/>
    <col min="2294" max="2294" width="12.44140625" customWidth="1"/>
    <col min="2295" max="2295" width="0" hidden="1" customWidth="1"/>
    <col min="2296" max="2296" width="12.44140625" customWidth="1"/>
    <col min="2297" max="2297" width="9.44140625" customWidth="1"/>
    <col min="2298" max="2298" width="10" customWidth="1"/>
    <col min="2299" max="2299" width="12.44140625" customWidth="1"/>
    <col min="2300" max="2300" width="14.33203125" customWidth="1"/>
    <col min="2301" max="2307" width="0" hidden="1" customWidth="1"/>
    <col min="2308" max="2537" width="7.88671875" customWidth="1"/>
    <col min="2539" max="2539" width="0" hidden="1" customWidth="1"/>
    <col min="2540" max="2540" width="11.44140625" customWidth="1"/>
    <col min="2541" max="2541" width="10.44140625" customWidth="1"/>
    <col min="2542" max="2542" width="10.6640625" customWidth="1"/>
    <col min="2543" max="2543" width="52.88671875" customWidth="1"/>
    <col min="2544" max="2544" width="14.44140625" customWidth="1"/>
    <col min="2545" max="2545" width="15.44140625" customWidth="1"/>
    <col min="2546" max="2546" width="13.33203125" customWidth="1"/>
    <col min="2547" max="2547" width="10.88671875" customWidth="1"/>
    <col min="2548" max="2548" width="7.88671875" customWidth="1"/>
    <col min="2549" max="2549" width="13" customWidth="1"/>
    <col min="2550" max="2550" width="12.44140625" customWidth="1"/>
    <col min="2551" max="2551" width="0" hidden="1" customWidth="1"/>
    <col min="2552" max="2552" width="12.44140625" customWidth="1"/>
    <col min="2553" max="2553" width="9.44140625" customWidth="1"/>
    <col min="2554" max="2554" width="10" customWidth="1"/>
    <col min="2555" max="2555" width="12.44140625" customWidth="1"/>
    <col min="2556" max="2556" width="14.33203125" customWidth="1"/>
    <col min="2557" max="2563" width="0" hidden="1" customWidth="1"/>
    <col min="2564" max="2793" width="7.88671875" customWidth="1"/>
    <col min="2795" max="2795" width="0" hidden="1" customWidth="1"/>
    <col min="2796" max="2796" width="11.44140625" customWidth="1"/>
    <col min="2797" max="2797" width="10.44140625" customWidth="1"/>
    <col min="2798" max="2798" width="10.6640625" customWidth="1"/>
    <col min="2799" max="2799" width="52.88671875" customWidth="1"/>
    <col min="2800" max="2800" width="14.44140625" customWidth="1"/>
    <col min="2801" max="2801" width="15.44140625" customWidth="1"/>
    <col min="2802" max="2802" width="13.33203125" customWidth="1"/>
    <col min="2803" max="2803" width="10.88671875" customWidth="1"/>
    <col min="2804" max="2804" width="7.88671875" customWidth="1"/>
    <col min="2805" max="2805" width="13" customWidth="1"/>
    <col min="2806" max="2806" width="12.44140625" customWidth="1"/>
    <col min="2807" max="2807" width="0" hidden="1" customWidth="1"/>
    <col min="2808" max="2808" width="12.44140625" customWidth="1"/>
    <col min="2809" max="2809" width="9.44140625" customWidth="1"/>
    <col min="2810" max="2810" width="10" customWidth="1"/>
    <col min="2811" max="2811" width="12.44140625" customWidth="1"/>
    <col min="2812" max="2812" width="14.33203125" customWidth="1"/>
    <col min="2813" max="2819" width="0" hidden="1" customWidth="1"/>
    <col min="2820" max="3049" width="7.88671875" customWidth="1"/>
    <col min="3051" max="3051" width="0" hidden="1" customWidth="1"/>
    <col min="3052" max="3052" width="11.44140625" customWidth="1"/>
    <col min="3053" max="3053" width="10.44140625" customWidth="1"/>
    <col min="3054" max="3054" width="10.6640625" customWidth="1"/>
    <col min="3055" max="3055" width="52.88671875" customWidth="1"/>
    <col min="3056" max="3056" width="14.44140625" customWidth="1"/>
    <col min="3057" max="3057" width="15.44140625" customWidth="1"/>
    <col min="3058" max="3058" width="13.33203125" customWidth="1"/>
    <col min="3059" max="3059" width="10.88671875" customWidth="1"/>
    <col min="3060" max="3060" width="7.88671875" customWidth="1"/>
    <col min="3061" max="3061" width="13" customWidth="1"/>
    <col min="3062" max="3062" width="12.44140625" customWidth="1"/>
    <col min="3063" max="3063" width="0" hidden="1" customWidth="1"/>
    <col min="3064" max="3064" width="12.44140625" customWidth="1"/>
    <col min="3065" max="3065" width="9.44140625" customWidth="1"/>
    <col min="3066" max="3066" width="10" customWidth="1"/>
    <col min="3067" max="3067" width="12.44140625" customWidth="1"/>
    <col min="3068" max="3068" width="14.33203125" customWidth="1"/>
    <col min="3069" max="3075" width="0" hidden="1" customWidth="1"/>
    <col min="3076" max="3305" width="7.88671875" customWidth="1"/>
    <col min="3307" max="3307" width="0" hidden="1" customWidth="1"/>
    <col min="3308" max="3308" width="11.44140625" customWidth="1"/>
    <col min="3309" max="3309" width="10.44140625" customWidth="1"/>
    <col min="3310" max="3310" width="10.6640625" customWidth="1"/>
    <col min="3311" max="3311" width="52.88671875" customWidth="1"/>
    <col min="3312" max="3312" width="14.44140625" customWidth="1"/>
    <col min="3313" max="3313" width="15.44140625" customWidth="1"/>
    <col min="3314" max="3314" width="13.33203125" customWidth="1"/>
    <col min="3315" max="3315" width="10.88671875" customWidth="1"/>
    <col min="3316" max="3316" width="7.88671875" customWidth="1"/>
    <col min="3317" max="3317" width="13" customWidth="1"/>
    <col min="3318" max="3318" width="12.44140625" customWidth="1"/>
    <col min="3319" max="3319" width="0" hidden="1" customWidth="1"/>
    <col min="3320" max="3320" width="12.44140625" customWidth="1"/>
    <col min="3321" max="3321" width="9.44140625" customWidth="1"/>
    <col min="3322" max="3322" width="10" customWidth="1"/>
    <col min="3323" max="3323" width="12.44140625" customWidth="1"/>
    <col min="3324" max="3324" width="14.33203125" customWidth="1"/>
    <col min="3325" max="3331" width="0" hidden="1" customWidth="1"/>
    <col min="3332" max="3561" width="7.88671875" customWidth="1"/>
    <col min="3563" max="3563" width="0" hidden="1" customWidth="1"/>
    <col min="3564" max="3564" width="11.44140625" customWidth="1"/>
    <col min="3565" max="3565" width="10.44140625" customWidth="1"/>
    <col min="3566" max="3566" width="10.6640625" customWidth="1"/>
    <col min="3567" max="3567" width="52.88671875" customWidth="1"/>
    <col min="3568" max="3568" width="14.44140625" customWidth="1"/>
    <col min="3569" max="3569" width="15.44140625" customWidth="1"/>
    <col min="3570" max="3570" width="13.33203125" customWidth="1"/>
    <col min="3571" max="3571" width="10.88671875" customWidth="1"/>
    <col min="3572" max="3572" width="7.88671875" customWidth="1"/>
    <col min="3573" max="3573" width="13" customWidth="1"/>
    <col min="3574" max="3574" width="12.44140625" customWidth="1"/>
    <col min="3575" max="3575" width="0" hidden="1" customWidth="1"/>
    <col min="3576" max="3576" width="12.44140625" customWidth="1"/>
    <col min="3577" max="3577" width="9.44140625" customWidth="1"/>
    <col min="3578" max="3578" width="10" customWidth="1"/>
    <col min="3579" max="3579" width="12.44140625" customWidth="1"/>
    <col min="3580" max="3580" width="14.33203125" customWidth="1"/>
    <col min="3581" max="3587" width="0" hidden="1" customWidth="1"/>
    <col min="3588" max="3817" width="7.88671875" customWidth="1"/>
    <col min="3819" max="3819" width="0" hidden="1" customWidth="1"/>
    <col min="3820" max="3820" width="11.44140625" customWidth="1"/>
    <col min="3821" max="3821" width="10.44140625" customWidth="1"/>
    <col min="3822" max="3822" width="10.6640625" customWidth="1"/>
    <col min="3823" max="3823" width="52.88671875" customWidth="1"/>
    <col min="3824" max="3824" width="14.44140625" customWidth="1"/>
    <col min="3825" max="3825" width="15.44140625" customWidth="1"/>
    <col min="3826" max="3826" width="13.33203125" customWidth="1"/>
    <col min="3827" max="3827" width="10.88671875" customWidth="1"/>
    <col min="3828" max="3828" width="7.88671875" customWidth="1"/>
    <col min="3829" max="3829" width="13" customWidth="1"/>
    <col min="3830" max="3830" width="12.44140625" customWidth="1"/>
    <col min="3831" max="3831" width="0" hidden="1" customWidth="1"/>
    <col min="3832" max="3832" width="12.44140625" customWidth="1"/>
    <col min="3833" max="3833" width="9.44140625" customWidth="1"/>
    <col min="3834" max="3834" width="10" customWidth="1"/>
    <col min="3835" max="3835" width="12.44140625" customWidth="1"/>
    <col min="3836" max="3836" width="14.33203125" customWidth="1"/>
    <col min="3837" max="3843" width="0" hidden="1" customWidth="1"/>
    <col min="3844" max="4073" width="7.88671875" customWidth="1"/>
    <col min="4075" max="4075" width="0" hidden="1" customWidth="1"/>
    <col min="4076" max="4076" width="11.44140625" customWidth="1"/>
    <col min="4077" max="4077" width="10.44140625" customWidth="1"/>
    <col min="4078" max="4078" width="10.6640625" customWidth="1"/>
    <col min="4079" max="4079" width="52.88671875" customWidth="1"/>
    <col min="4080" max="4080" width="14.44140625" customWidth="1"/>
    <col min="4081" max="4081" width="15.44140625" customWidth="1"/>
    <col min="4082" max="4082" width="13.33203125" customWidth="1"/>
    <col min="4083" max="4083" width="10.88671875" customWidth="1"/>
    <col min="4084" max="4084" width="7.88671875" customWidth="1"/>
    <col min="4085" max="4085" width="13" customWidth="1"/>
    <col min="4086" max="4086" width="12.44140625" customWidth="1"/>
    <col min="4087" max="4087" width="0" hidden="1" customWidth="1"/>
    <col min="4088" max="4088" width="12.44140625" customWidth="1"/>
    <col min="4089" max="4089" width="9.44140625" customWidth="1"/>
    <col min="4090" max="4090" width="10" customWidth="1"/>
    <col min="4091" max="4091" width="12.44140625" customWidth="1"/>
    <col min="4092" max="4092" width="14.33203125" customWidth="1"/>
    <col min="4093" max="4099" width="0" hidden="1" customWidth="1"/>
    <col min="4100" max="4329" width="7.88671875" customWidth="1"/>
    <col min="4331" max="4331" width="0" hidden="1" customWidth="1"/>
    <col min="4332" max="4332" width="11.44140625" customWidth="1"/>
    <col min="4333" max="4333" width="10.44140625" customWidth="1"/>
    <col min="4334" max="4334" width="10.6640625" customWidth="1"/>
    <col min="4335" max="4335" width="52.88671875" customWidth="1"/>
    <col min="4336" max="4336" width="14.44140625" customWidth="1"/>
    <col min="4337" max="4337" width="15.44140625" customWidth="1"/>
    <col min="4338" max="4338" width="13.33203125" customWidth="1"/>
    <col min="4339" max="4339" width="10.88671875" customWidth="1"/>
    <col min="4340" max="4340" width="7.88671875" customWidth="1"/>
    <col min="4341" max="4341" width="13" customWidth="1"/>
    <col min="4342" max="4342" width="12.44140625" customWidth="1"/>
    <col min="4343" max="4343" width="0" hidden="1" customWidth="1"/>
    <col min="4344" max="4344" width="12.44140625" customWidth="1"/>
    <col min="4345" max="4345" width="9.44140625" customWidth="1"/>
    <col min="4346" max="4346" width="10" customWidth="1"/>
    <col min="4347" max="4347" width="12.44140625" customWidth="1"/>
    <col min="4348" max="4348" width="14.33203125" customWidth="1"/>
    <col min="4349" max="4355" width="0" hidden="1" customWidth="1"/>
    <col min="4356" max="4585" width="7.88671875" customWidth="1"/>
    <col min="4587" max="4587" width="0" hidden="1" customWidth="1"/>
    <col min="4588" max="4588" width="11.44140625" customWidth="1"/>
    <col min="4589" max="4589" width="10.44140625" customWidth="1"/>
    <col min="4590" max="4590" width="10.6640625" customWidth="1"/>
    <col min="4591" max="4591" width="52.88671875" customWidth="1"/>
    <col min="4592" max="4592" width="14.44140625" customWidth="1"/>
    <col min="4593" max="4593" width="15.44140625" customWidth="1"/>
    <col min="4594" max="4594" width="13.33203125" customWidth="1"/>
    <col min="4595" max="4595" width="10.88671875" customWidth="1"/>
    <col min="4596" max="4596" width="7.88671875" customWidth="1"/>
    <col min="4597" max="4597" width="13" customWidth="1"/>
    <col min="4598" max="4598" width="12.44140625" customWidth="1"/>
    <col min="4599" max="4599" width="0" hidden="1" customWidth="1"/>
    <col min="4600" max="4600" width="12.44140625" customWidth="1"/>
    <col min="4601" max="4601" width="9.44140625" customWidth="1"/>
    <col min="4602" max="4602" width="10" customWidth="1"/>
    <col min="4603" max="4603" width="12.44140625" customWidth="1"/>
    <col min="4604" max="4604" width="14.33203125" customWidth="1"/>
    <col min="4605" max="4611" width="0" hidden="1" customWidth="1"/>
    <col min="4612" max="4841" width="7.88671875" customWidth="1"/>
    <col min="4843" max="4843" width="0" hidden="1" customWidth="1"/>
    <col min="4844" max="4844" width="11.44140625" customWidth="1"/>
    <col min="4845" max="4845" width="10.44140625" customWidth="1"/>
    <col min="4846" max="4846" width="10.6640625" customWidth="1"/>
    <col min="4847" max="4847" width="52.88671875" customWidth="1"/>
    <col min="4848" max="4848" width="14.44140625" customWidth="1"/>
    <col min="4849" max="4849" width="15.44140625" customWidth="1"/>
    <col min="4850" max="4850" width="13.33203125" customWidth="1"/>
    <col min="4851" max="4851" width="10.88671875" customWidth="1"/>
    <col min="4852" max="4852" width="7.88671875" customWidth="1"/>
    <col min="4853" max="4853" width="13" customWidth="1"/>
    <col min="4854" max="4854" width="12.44140625" customWidth="1"/>
    <col min="4855" max="4855" width="0" hidden="1" customWidth="1"/>
    <col min="4856" max="4856" width="12.44140625" customWidth="1"/>
    <col min="4857" max="4857" width="9.44140625" customWidth="1"/>
    <col min="4858" max="4858" width="10" customWidth="1"/>
    <col min="4859" max="4859" width="12.44140625" customWidth="1"/>
    <col min="4860" max="4860" width="14.33203125" customWidth="1"/>
    <col min="4861" max="4867" width="0" hidden="1" customWidth="1"/>
    <col min="4868" max="5097" width="7.88671875" customWidth="1"/>
    <col min="5099" max="5099" width="0" hidden="1" customWidth="1"/>
    <col min="5100" max="5100" width="11.44140625" customWidth="1"/>
    <col min="5101" max="5101" width="10.44140625" customWidth="1"/>
    <col min="5102" max="5102" width="10.6640625" customWidth="1"/>
    <col min="5103" max="5103" width="52.88671875" customWidth="1"/>
    <col min="5104" max="5104" width="14.44140625" customWidth="1"/>
    <col min="5105" max="5105" width="15.44140625" customWidth="1"/>
    <col min="5106" max="5106" width="13.33203125" customWidth="1"/>
    <col min="5107" max="5107" width="10.88671875" customWidth="1"/>
    <col min="5108" max="5108" width="7.88671875" customWidth="1"/>
    <col min="5109" max="5109" width="13" customWidth="1"/>
    <col min="5110" max="5110" width="12.44140625" customWidth="1"/>
    <col min="5111" max="5111" width="0" hidden="1" customWidth="1"/>
    <col min="5112" max="5112" width="12.44140625" customWidth="1"/>
    <col min="5113" max="5113" width="9.44140625" customWidth="1"/>
    <col min="5114" max="5114" width="10" customWidth="1"/>
    <col min="5115" max="5115" width="12.44140625" customWidth="1"/>
    <col min="5116" max="5116" width="14.33203125" customWidth="1"/>
    <col min="5117" max="5123" width="0" hidden="1" customWidth="1"/>
    <col min="5124" max="5353" width="7.88671875" customWidth="1"/>
    <col min="5355" max="5355" width="0" hidden="1" customWidth="1"/>
    <col min="5356" max="5356" width="11.44140625" customWidth="1"/>
    <col min="5357" max="5357" width="10.44140625" customWidth="1"/>
    <col min="5358" max="5358" width="10.6640625" customWidth="1"/>
    <col min="5359" max="5359" width="52.88671875" customWidth="1"/>
    <col min="5360" max="5360" width="14.44140625" customWidth="1"/>
    <col min="5361" max="5361" width="15.44140625" customWidth="1"/>
    <col min="5362" max="5362" width="13.33203125" customWidth="1"/>
    <col min="5363" max="5363" width="10.88671875" customWidth="1"/>
    <col min="5364" max="5364" width="7.88671875" customWidth="1"/>
    <col min="5365" max="5365" width="13" customWidth="1"/>
    <col min="5366" max="5366" width="12.44140625" customWidth="1"/>
    <col min="5367" max="5367" width="0" hidden="1" customWidth="1"/>
    <col min="5368" max="5368" width="12.44140625" customWidth="1"/>
    <col min="5369" max="5369" width="9.44140625" customWidth="1"/>
    <col min="5370" max="5370" width="10" customWidth="1"/>
    <col min="5371" max="5371" width="12.44140625" customWidth="1"/>
    <col min="5372" max="5372" width="14.33203125" customWidth="1"/>
    <col min="5373" max="5379" width="0" hidden="1" customWidth="1"/>
    <col min="5380" max="5609" width="7.88671875" customWidth="1"/>
    <col min="5611" max="5611" width="0" hidden="1" customWidth="1"/>
    <col min="5612" max="5612" width="11.44140625" customWidth="1"/>
    <col min="5613" max="5613" width="10.44140625" customWidth="1"/>
    <col min="5614" max="5614" width="10.6640625" customWidth="1"/>
    <col min="5615" max="5615" width="52.88671875" customWidth="1"/>
    <col min="5616" max="5616" width="14.44140625" customWidth="1"/>
    <col min="5617" max="5617" width="15.44140625" customWidth="1"/>
    <col min="5618" max="5618" width="13.33203125" customWidth="1"/>
    <col min="5619" max="5619" width="10.88671875" customWidth="1"/>
    <col min="5620" max="5620" width="7.88671875" customWidth="1"/>
    <col min="5621" max="5621" width="13" customWidth="1"/>
    <col min="5622" max="5622" width="12.44140625" customWidth="1"/>
    <col min="5623" max="5623" width="0" hidden="1" customWidth="1"/>
    <col min="5624" max="5624" width="12.44140625" customWidth="1"/>
    <col min="5625" max="5625" width="9.44140625" customWidth="1"/>
    <col min="5626" max="5626" width="10" customWidth="1"/>
    <col min="5627" max="5627" width="12.44140625" customWidth="1"/>
    <col min="5628" max="5628" width="14.33203125" customWidth="1"/>
    <col min="5629" max="5635" width="0" hidden="1" customWidth="1"/>
    <col min="5636" max="5865" width="7.88671875" customWidth="1"/>
    <col min="5867" max="5867" width="0" hidden="1" customWidth="1"/>
    <col min="5868" max="5868" width="11.44140625" customWidth="1"/>
    <col min="5869" max="5869" width="10.44140625" customWidth="1"/>
    <col min="5870" max="5870" width="10.6640625" customWidth="1"/>
    <col min="5871" max="5871" width="52.88671875" customWidth="1"/>
    <col min="5872" max="5872" width="14.44140625" customWidth="1"/>
    <col min="5873" max="5873" width="15.44140625" customWidth="1"/>
    <col min="5874" max="5874" width="13.33203125" customWidth="1"/>
    <col min="5875" max="5875" width="10.88671875" customWidth="1"/>
    <col min="5876" max="5876" width="7.88671875" customWidth="1"/>
    <col min="5877" max="5877" width="13" customWidth="1"/>
    <col min="5878" max="5878" width="12.44140625" customWidth="1"/>
    <col min="5879" max="5879" width="0" hidden="1" customWidth="1"/>
    <col min="5880" max="5880" width="12.44140625" customWidth="1"/>
    <col min="5881" max="5881" width="9.44140625" customWidth="1"/>
    <col min="5882" max="5882" width="10" customWidth="1"/>
    <col min="5883" max="5883" width="12.44140625" customWidth="1"/>
    <col min="5884" max="5884" width="14.33203125" customWidth="1"/>
    <col min="5885" max="5891" width="0" hidden="1" customWidth="1"/>
    <col min="5892" max="6121" width="7.88671875" customWidth="1"/>
    <col min="6123" max="6123" width="0" hidden="1" customWidth="1"/>
    <col min="6124" max="6124" width="11.44140625" customWidth="1"/>
    <col min="6125" max="6125" width="10.44140625" customWidth="1"/>
    <col min="6126" max="6126" width="10.6640625" customWidth="1"/>
    <col min="6127" max="6127" width="52.88671875" customWidth="1"/>
    <col min="6128" max="6128" width="14.44140625" customWidth="1"/>
    <col min="6129" max="6129" width="15.44140625" customWidth="1"/>
    <col min="6130" max="6130" width="13.33203125" customWidth="1"/>
    <col min="6131" max="6131" width="10.88671875" customWidth="1"/>
    <col min="6132" max="6132" width="7.88671875" customWidth="1"/>
    <col min="6133" max="6133" width="13" customWidth="1"/>
    <col min="6134" max="6134" width="12.44140625" customWidth="1"/>
    <col min="6135" max="6135" width="0" hidden="1" customWidth="1"/>
    <col min="6136" max="6136" width="12.44140625" customWidth="1"/>
    <col min="6137" max="6137" width="9.44140625" customWidth="1"/>
    <col min="6138" max="6138" width="10" customWidth="1"/>
    <col min="6139" max="6139" width="12.44140625" customWidth="1"/>
    <col min="6140" max="6140" width="14.33203125" customWidth="1"/>
    <col min="6141" max="6147" width="0" hidden="1" customWidth="1"/>
    <col min="6148" max="6377" width="7.88671875" customWidth="1"/>
    <col min="6379" max="6379" width="0" hidden="1" customWidth="1"/>
    <col min="6380" max="6380" width="11.44140625" customWidth="1"/>
    <col min="6381" max="6381" width="10.44140625" customWidth="1"/>
    <col min="6382" max="6382" width="10.6640625" customWidth="1"/>
    <col min="6383" max="6383" width="52.88671875" customWidth="1"/>
    <col min="6384" max="6384" width="14.44140625" customWidth="1"/>
    <col min="6385" max="6385" width="15.44140625" customWidth="1"/>
    <col min="6386" max="6386" width="13.33203125" customWidth="1"/>
    <col min="6387" max="6387" width="10.88671875" customWidth="1"/>
    <col min="6388" max="6388" width="7.88671875" customWidth="1"/>
    <col min="6389" max="6389" width="13" customWidth="1"/>
    <col min="6390" max="6390" width="12.44140625" customWidth="1"/>
    <col min="6391" max="6391" width="0" hidden="1" customWidth="1"/>
    <col min="6392" max="6392" width="12.44140625" customWidth="1"/>
    <col min="6393" max="6393" width="9.44140625" customWidth="1"/>
    <col min="6394" max="6394" width="10" customWidth="1"/>
    <col min="6395" max="6395" width="12.44140625" customWidth="1"/>
    <col min="6396" max="6396" width="14.33203125" customWidth="1"/>
    <col min="6397" max="6403" width="0" hidden="1" customWidth="1"/>
    <col min="6404" max="6633" width="7.88671875" customWidth="1"/>
    <col min="6635" max="6635" width="0" hidden="1" customWidth="1"/>
    <col min="6636" max="6636" width="11.44140625" customWidth="1"/>
    <col min="6637" max="6637" width="10.44140625" customWidth="1"/>
    <col min="6638" max="6638" width="10.6640625" customWidth="1"/>
    <col min="6639" max="6639" width="52.88671875" customWidth="1"/>
    <col min="6640" max="6640" width="14.44140625" customWidth="1"/>
    <col min="6641" max="6641" width="15.44140625" customWidth="1"/>
    <col min="6642" max="6642" width="13.33203125" customWidth="1"/>
    <col min="6643" max="6643" width="10.88671875" customWidth="1"/>
    <col min="6644" max="6644" width="7.88671875" customWidth="1"/>
    <col min="6645" max="6645" width="13" customWidth="1"/>
    <col min="6646" max="6646" width="12.44140625" customWidth="1"/>
    <col min="6647" max="6647" width="0" hidden="1" customWidth="1"/>
    <col min="6648" max="6648" width="12.44140625" customWidth="1"/>
    <col min="6649" max="6649" width="9.44140625" customWidth="1"/>
    <col min="6650" max="6650" width="10" customWidth="1"/>
    <col min="6651" max="6651" width="12.44140625" customWidth="1"/>
    <col min="6652" max="6652" width="14.33203125" customWidth="1"/>
    <col min="6653" max="6659" width="0" hidden="1" customWidth="1"/>
    <col min="6660" max="6889" width="7.88671875" customWidth="1"/>
    <col min="6891" max="6891" width="0" hidden="1" customWidth="1"/>
    <col min="6892" max="6892" width="11.44140625" customWidth="1"/>
    <col min="6893" max="6893" width="10.44140625" customWidth="1"/>
    <col min="6894" max="6894" width="10.6640625" customWidth="1"/>
    <col min="6895" max="6895" width="52.88671875" customWidth="1"/>
    <col min="6896" max="6896" width="14.44140625" customWidth="1"/>
    <col min="6897" max="6897" width="15.44140625" customWidth="1"/>
    <col min="6898" max="6898" width="13.33203125" customWidth="1"/>
    <col min="6899" max="6899" width="10.88671875" customWidth="1"/>
    <col min="6900" max="6900" width="7.88671875" customWidth="1"/>
    <col min="6901" max="6901" width="13" customWidth="1"/>
    <col min="6902" max="6902" width="12.44140625" customWidth="1"/>
    <col min="6903" max="6903" width="0" hidden="1" customWidth="1"/>
    <col min="6904" max="6904" width="12.44140625" customWidth="1"/>
    <col min="6905" max="6905" width="9.44140625" customWidth="1"/>
    <col min="6906" max="6906" width="10" customWidth="1"/>
    <col min="6907" max="6907" width="12.44140625" customWidth="1"/>
    <col min="6908" max="6908" width="14.33203125" customWidth="1"/>
    <col min="6909" max="6915" width="0" hidden="1" customWidth="1"/>
    <col min="6916" max="7145" width="7.88671875" customWidth="1"/>
    <col min="7147" max="7147" width="0" hidden="1" customWidth="1"/>
    <col min="7148" max="7148" width="11.44140625" customWidth="1"/>
    <col min="7149" max="7149" width="10.44140625" customWidth="1"/>
    <col min="7150" max="7150" width="10.6640625" customWidth="1"/>
    <col min="7151" max="7151" width="52.88671875" customWidth="1"/>
    <col min="7152" max="7152" width="14.44140625" customWidth="1"/>
    <col min="7153" max="7153" width="15.44140625" customWidth="1"/>
    <col min="7154" max="7154" width="13.33203125" customWidth="1"/>
    <col min="7155" max="7155" width="10.88671875" customWidth="1"/>
    <col min="7156" max="7156" width="7.88671875" customWidth="1"/>
    <col min="7157" max="7157" width="13" customWidth="1"/>
    <col min="7158" max="7158" width="12.44140625" customWidth="1"/>
    <col min="7159" max="7159" width="0" hidden="1" customWidth="1"/>
    <col min="7160" max="7160" width="12.44140625" customWidth="1"/>
    <col min="7161" max="7161" width="9.44140625" customWidth="1"/>
    <col min="7162" max="7162" width="10" customWidth="1"/>
    <col min="7163" max="7163" width="12.44140625" customWidth="1"/>
    <col min="7164" max="7164" width="14.33203125" customWidth="1"/>
    <col min="7165" max="7171" width="0" hidden="1" customWidth="1"/>
    <col min="7172" max="7401" width="7.88671875" customWidth="1"/>
    <col min="7403" max="7403" width="0" hidden="1" customWidth="1"/>
    <col min="7404" max="7404" width="11.44140625" customWidth="1"/>
    <col min="7405" max="7405" width="10.44140625" customWidth="1"/>
    <col min="7406" max="7406" width="10.6640625" customWidth="1"/>
    <col min="7407" max="7407" width="52.88671875" customWidth="1"/>
    <col min="7408" max="7408" width="14.44140625" customWidth="1"/>
    <col min="7409" max="7409" width="15.44140625" customWidth="1"/>
    <col min="7410" max="7410" width="13.33203125" customWidth="1"/>
    <col min="7411" max="7411" width="10.88671875" customWidth="1"/>
    <col min="7412" max="7412" width="7.88671875" customWidth="1"/>
    <col min="7413" max="7413" width="13" customWidth="1"/>
    <col min="7414" max="7414" width="12.44140625" customWidth="1"/>
    <col min="7415" max="7415" width="0" hidden="1" customWidth="1"/>
    <col min="7416" max="7416" width="12.44140625" customWidth="1"/>
    <col min="7417" max="7417" width="9.44140625" customWidth="1"/>
    <col min="7418" max="7418" width="10" customWidth="1"/>
    <col min="7419" max="7419" width="12.44140625" customWidth="1"/>
    <col min="7420" max="7420" width="14.33203125" customWidth="1"/>
    <col min="7421" max="7427" width="0" hidden="1" customWidth="1"/>
    <col min="7428" max="7657" width="7.88671875" customWidth="1"/>
    <col min="7659" max="7659" width="0" hidden="1" customWidth="1"/>
    <col min="7660" max="7660" width="11.44140625" customWidth="1"/>
    <col min="7661" max="7661" width="10.44140625" customWidth="1"/>
    <col min="7662" max="7662" width="10.6640625" customWidth="1"/>
    <col min="7663" max="7663" width="52.88671875" customWidth="1"/>
    <col min="7664" max="7664" width="14.44140625" customWidth="1"/>
    <col min="7665" max="7665" width="15.44140625" customWidth="1"/>
    <col min="7666" max="7666" width="13.33203125" customWidth="1"/>
    <col min="7667" max="7667" width="10.88671875" customWidth="1"/>
    <col min="7668" max="7668" width="7.88671875" customWidth="1"/>
    <col min="7669" max="7669" width="13" customWidth="1"/>
    <col min="7670" max="7670" width="12.44140625" customWidth="1"/>
    <col min="7671" max="7671" width="0" hidden="1" customWidth="1"/>
    <col min="7672" max="7672" width="12.44140625" customWidth="1"/>
    <col min="7673" max="7673" width="9.44140625" customWidth="1"/>
    <col min="7674" max="7674" width="10" customWidth="1"/>
    <col min="7675" max="7675" width="12.44140625" customWidth="1"/>
    <col min="7676" max="7676" width="14.33203125" customWidth="1"/>
    <col min="7677" max="7683" width="0" hidden="1" customWidth="1"/>
    <col min="7684" max="7913" width="7.88671875" customWidth="1"/>
    <col min="7915" max="7915" width="0" hidden="1" customWidth="1"/>
    <col min="7916" max="7916" width="11.44140625" customWidth="1"/>
    <col min="7917" max="7917" width="10.44140625" customWidth="1"/>
    <col min="7918" max="7918" width="10.6640625" customWidth="1"/>
    <col min="7919" max="7919" width="52.88671875" customWidth="1"/>
    <col min="7920" max="7920" width="14.44140625" customWidth="1"/>
    <col min="7921" max="7921" width="15.44140625" customWidth="1"/>
    <col min="7922" max="7922" width="13.33203125" customWidth="1"/>
    <col min="7923" max="7923" width="10.88671875" customWidth="1"/>
    <col min="7924" max="7924" width="7.88671875" customWidth="1"/>
    <col min="7925" max="7925" width="13" customWidth="1"/>
    <col min="7926" max="7926" width="12.44140625" customWidth="1"/>
    <col min="7927" max="7927" width="0" hidden="1" customWidth="1"/>
    <col min="7928" max="7928" width="12.44140625" customWidth="1"/>
    <col min="7929" max="7929" width="9.44140625" customWidth="1"/>
    <col min="7930" max="7930" width="10" customWidth="1"/>
    <col min="7931" max="7931" width="12.44140625" customWidth="1"/>
    <col min="7932" max="7932" width="14.33203125" customWidth="1"/>
    <col min="7933" max="7939" width="0" hidden="1" customWidth="1"/>
    <col min="7940" max="8169" width="7.88671875" customWidth="1"/>
    <col min="8171" max="8171" width="0" hidden="1" customWidth="1"/>
    <col min="8172" max="8172" width="11.44140625" customWidth="1"/>
    <col min="8173" max="8173" width="10.44140625" customWidth="1"/>
    <col min="8174" max="8174" width="10.6640625" customWidth="1"/>
    <col min="8175" max="8175" width="52.88671875" customWidth="1"/>
    <col min="8176" max="8176" width="14.44140625" customWidth="1"/>
    <col min="8177" max="8177" width="15.44140625" customWidth="1"/>
    <col min="8178" max="8178" width="13.33203125" customWidth="1"/>
    <col min="8179" max="8179" width="10.88671875" customWidth="1"/>
    <col min="8180" max="8180" width="7.88671875" customWidth="1"/>
    <col min="8181" max="8181" width="13" customWidth="1"/>
    <col min="8182" max="8182" width="12.44140625" customWidth="1"/>
    <col min="8183" max="8183" width="0" hidden="1" customWidth="1"/>
    <col min="8184" max="8184" width="12.44140625" customWidth="1"/>
    <col min="8185" max="8185" width="9.44140625" customWidth="1"/>
    <col min="8186" max="8186" width="10" customWidth="1"/>
    <col min="8187" max="8187" width="12.44140625" customWidth="1"/>
    <col min="8188" max="8188" width="14.33203125" customWidth="1"/>
    <col min="8189" max="8195" width="0" hidden="1" customWidth="1"/>
    <col min="8196" max="8425" width="7.88671875" customWidth="1"/>
    <col min="8427" max="8427" width="0" hidden="1" customWidth="1"/>
    <col min="8428" max="8428" width="11.44140625" customWidth="1"/>
    <col min="8429" max="8429" width="10.44140625" customWidth="1"/>
    <col min="8430" max="8430" width="10.6640625" customWidth="1"/>
    <col min="8431" max="8431" width="52.88671875" customWidth="1"/>
    <col min="8432" max="8432" width="14.44140625" customWidth="1"/>
    <col min="8433" max="8433" width="15.44140625" customWidth="1"/>
    <col min="8434" max="8434" width="13.33203125" customWidth="1"/>
    <col min="8435" max="8435" width="10.88671875" customWidth="1"/>
    <col min="8436" max="8436" width="7.88671875" customWidth="1"/>
    <col min="8437" max="8437" width="13" customWidth="1"/>
    <col min="8438" max="8438" width="12.44140625" customWidth="1"/>
    <col min="8439" max="8439" width="0" hidden="1" customWidth="1"/>
    <col min="8440" max="8440" width="12.44140625" customWidth="1"/>
    <col min="8441" max="8441" width="9.44140625" customWidth="1"/>
    <col min="8442" max="8442" width="10" customWidth="1"/>
    <col min="8443" max="8443" width="12.44140625" customWidth="1"/>
    <col min="8444" max="8444" width="14.33203125" customWidth="1"/>
    <col min="8445" max="8451" width="0" hidden="1" customWidth="1"/>
    <col min="8452" max="8681" width="7.88671875" customWidth="1"/>
    <col min="8683" max="8683" width="0" hidden="1" customWidth="1"/>
    <col min="8684" max="8684" width="11.44140625" customWidth="1"/>
    <col min="8685" max="8685" width="10.44140625" customWidth="1"/>
    <col min="8686" max="8686" width="10.6640625" customWidth="1"/>
    <col min="8687" max="8687" width="52.88671875" customWidth="1"/>
    <col min="8688" max="8688" width="14.44140625" customWidth="1"/>
    <col min="8689" max="8689" width="15.44140625" customWidth="1"/>
    <col min="8690" max="8690" width="13.33203125" customWidth="1"/>
    <col min="8691" max="8691" width="10.88671875" customWidth="1"/>
    <col min="8692" max="8692" width="7.88671875" customWidth="1"/>
    <col min="8693" max="8693" width="13" customWidth="1"/>
    <col min="8694" max="8694" width="12.44140625" customWidth="1"/>
    <col min="8695" max="8695" width="0" hidden="1" customWidth="1"/>
    <col min="8696" max="8696" width="12.44140625" customWidth="1"/>
    <col min="8697" max="8697" width="9.44140625" customWidth="1"/>
    <col min="8698" max="8698" width="10" customWidth="1"/>
    <col min="8699" max="8699" width="12.44140625" customWidth="1"/>
    <col min="8700" max="8700" width="14.33203125" customWidth="1"/>
    <col min="8701" max="8707" width="0" hidden="1" customWidth="1"/>
    <col min="8708" max="8937" width="7.88671875" customWidth="1"/>
    <col min="8939" max="8939" width="0" hidden="1" customWidth="1"/>
    <col min="8940" max="8940" width="11.44140625" customWidth="1"/>
    <col min="8941" max="8941" width="10.44140625" customWidth="1"/>
    <col min="8942" max="8942" width="10.6640625" customWidth="1"/>
    <col min="8943" max="8943" width="52.88671875" customWidth="1"/>
    <col min="8944" max="8944" width="14.44140625" customWidth="1"/>
    <col min="8945" max="8945" width="15.44140625" customWidth="1"/>
    <col min="8946" max="8946" width="13.33203125" customWidth="1"/>
    <col min="8947" max="8947" width="10.88671875" customWidth="1"/>
    <col min="8948" max="8948" width="7.88671875" customWidth="1"/>
    <col min="8949" max="8949" width="13" customWidth="1"/>
    <col min="8950" max="8950" width="12.44140625" customWidth="1"/>
    <col min="8951" max="8951" width="0" hidden="1" customWidth="1"/>
    <col min="8952" max="8952" width="12.44140625" customWidth="1"/>
    <col min="8953" max="8953" width="9.44140625" customWidth="1"/>
    <col min="8954" max="8954" width="10" customWidth="1"/>
    <col min="8955" max="8955" width="12.44140625" customWidth="1"/>
    <col min="8956" max="8956" width="14.33203125" customWidth="1"/>
    <col min="8957" max="8963" width="0" hidden="1" customWidth="1"/>
    <col min="8964" max="9193" width="7.88671875" customWidth="1"/>
    <col min="9195" max="9195" width="0" hidden="1" customWidth="1"/>
    <col min="9196" max="9196" width="11.44140625" customWidth="1"/>
    <col min="9197" max="9197" width="10.44140625" customWidth="1"/>
    <col min="9198" max="9198" width="10.6640625" customWidth="1"/>
    <col min="9199" max="9199" width="52.88671875" customWidth="1"/>
    <col min="9200" max="9200" width="14.44140625" customWidth="1"/>
    <col min="9201" max="9201" width="15.44140625" customWidth="1"/>
    <col min="9202" max="9202" width="13.33203125" customWidth="1"/>
    <col min="9203" max="9203" width="10.88671875" customWidth="1"/>
    <col min="9204" max="9204" width="7.88671875" customWidth="1"/>
    <col min="9205" max="9205" width="13" customWidth="1"/>
    <col min="9206" max="9206" width="12.44140625" customWidth="1"/>
    <col min="9207" max="9207" width="0" hidden="1" customWidth="1"/>
    <col min="9208" max="9208" width="12.44140625" customWidth="1"/>
    <col min="9209" max="9209" width="9.44140625" customWidth="1"/>
    <col min="9210" max="9210" width="10" customWidth="1"/>
    <col min="9211" max="9211" width="12.44140625" customWidth="1"/>
    <col min="9212" max="9212" width="14.33203125" customWidth="1"/>
    <col min="9213" max="9219" width="0" hidden="1" customWidth="1"/>
    <col min="9220" max="9449" width="7.88671875" customWidth="1"/>
    <col min="9451" max="9451" width="0" hidden="1" customWidth="1"/>
    <col min="9452" max="9452" width="11.44140625" customWidth="1"/>
    <col min="9453" max="9453" width="10.44140625" customWidth="1"/>
    <col min="9454" max="9454" width="10.6640625" customWidth="1"/>
    <col min="9455" max="9455" width="52.88671875" customWidth="1"/>
    <col min="9456" max="9456" width="14.44140625" customWidth="1"/>
    <col min="9457" max="9457" width="15.44140625" customWidth="1"/>
    <col min="9458" max="9458" width="13.33203125" customWidth="1"/>
    <col min="9459" max="9459" width="10.88671875" customWidth="1"/>
    <col min="9460" max="9460" width="7.88671875" customWidth="1"/>
    <col min="9461" max="9461" width="13" customWidth="1"/>
    <col min="9462" max="9462" width="12.44140625" customWidth="1"/>
    <col min="9463" max="9463" width="0" hidden="1" customWidth="1"/>
    <col min="9464" max="9464" width="12.44140625" customWidth="1"/>
    <col min="9465" max="9465" width="9.44140625" customWidth="1"/>
    <col min="9466" max="9466" width="10" customWidth="1"/>
    <col min="9467" max="9467" width="12.44140625" customWidth="1"/>
    <col min="9468" max="9468" width="14.33203125" customWidth="1"/>
    <col min="9469" max="9475" width="0" hidden="1" customWidth="1"/>
    <col min="9476" max="9705" width="7.88671875" customWidth="1"/>
    <col min="9707" max="9707" width="0" hidden="1" customWidth="1"/>
    <col min="9708" max="9708" width="11.44140625" customWidth="1"/>
    <col min="9709" max="9709" width="10.44140625" customWidth="1"/>
    <col min="9710" max="9710" width="10.6640625" customWidth="1"/>
    <col min="9711" max="9711" width="52.88671875" customWidth="1"/>
    <col min="9712" max="9712" width="14.44140625" customWidth="1"/>
    <col min="9713" max="9713" width="15.44140625" customWidth="1"/>
    <col min="9714" max="9714" width="13.33203125" customWidth="1"/>
    <col min="9715" max="9715" width="10.88671875" customWidth="1"/>
    <col min="9716" max="9716" width="7.88671875" customWidth="1"/>
    <col min="9717" max="9717" width="13" customWidth="1"/>
    <col min="9718" max="9718" width="12.44140625" customWidth="1"/>
    <col min="9719" max="9719" width="0" hidden="1" customWidth="1"/>
    <col min="9720" max="9720" width="12.44140625" customWidth="1"/>
    <col min="9721" max="9721" width="9.44140625" customWidth="1"/>
    <col min="9722" max="9722" width="10" customWidth="1"/>
    <col min="9723" max="9723" width="12.44140625" customWidth="1"/>
    <col min="9724" max="9724" width="14.33203125" customWidth="1"/>
    <col min="9725" max="9731" width="0" hidden="1" customWidth="1"/>
    <col min="9732" max="9961" width="7.88671875" customWidth="1"/>
    <col min="9963" max="9963" width="0" hidden="1" customWidth="1"/>
    <col min="9964" max="9964" width="11.44140625" customWidth="1"/>
    <col min="9965" max="9965" width="10.44140625" customWidth="1"/>
    <col min="9966" max="9966" width="10.6640625" customWidth="1"/>
    <col min="9967" max="9967" width="52.88671875" customWidth="1"/>
    <col min="9968" max="9968" width="14.44140625" customWidth="1"/>
    <col min="9969" max="9969" width="15.44140625" customWidth="1"/>
    <col min="9970" max="9970" width="13.33203125" customWidth="1"/>
    <col min="9971" max="9971" width="10.88671875" customWidth="1"/>
    <col min="9972" max="9972" width="7.88671875" customWidth="1"/>
    <col min="9973" max="9973" width="13" customWidth="1"/>
    <col min="9974" max="9974" width="12.44140625" customWidth="1"/>
    <col min="9975" max="9975" width="0" hidden="1" customWidth="1"/>
    <col min="9976" max="9976" width="12.44140625" customWidth="1"/>
    <col min="9977" max="9977" width="9.44140625" customWidth="1"/>
    <col min="9978" max="9978" width="10" customWidth="1"/>
    <col min="9979" max="9979" width="12.44140625" customWidth="1"/>
    <col min="9980" max="9980" width="14.33203125" customWidth="1"/>
    <col min="9981" max="9987" width="0" hidden="1" customWidth="1"/>
    <col min="9988" max="10217" width="7.88671875" customWidth="1"/>
    <col min="10219" max="10219" width="0" hidden="1" customWidth="1"/>
    <col min="10220" max="10220" width="11.44140625" customWidth="1"/>
    <col min="10221" max="10221" width="10.44140625" customWidth="1"/>
    <col min="10222" max="10222" width="10.6640625" customWidth="1"/>
    <col min="10223" max="10223" width="52.88671875" customWidth="1"/>
    <col min="10224" max="10224" width="14.44140625" customWidth="1"/>
    <col min="10225" max="10225" width="15.44140625" customWidth="1"/>
    <col min="10226" max="10226" width="13.33203125" customWidth="1"/>
    <col min="10227" max="10227" width="10.88671875" customWidth="1"/>
    <col min="10228" max="10228" width="7.88671875" customWidth="1"/>
    <col min="10229" max="10229" width="13" customWidth="1"/>
    <col min="10230" max="10230" width="12.44140625" customWidth="1"/>
    <col min="10231" max="10231" width="0" hidden="1" customWidth="1"/>
    <col min="10232" max="10232" width="12.44140625" customWidth="1"/>
    <col min="10233" max="10233" width="9.44140625" customWidth="1"/>
    <col min="10234" max="10234" width="10" customWidth="1"/>
    <col min="10235" max="10235" width="12.44140625" customWidth="1"/>
    <col min="10236" max="10236" width="14.33203125" customWidth="1"/>
    <col min="10237" max="10243" width="0" hidden="1" customWidth="1"/>
    <col min="10244" max="10473" width="7.88671875" customWidth="1"/>
    <col min="10475" max="10475" width="0" hidden="1" customWidth="1"/>
    <col min="10476" max="10476" width="11.44140625" customWidth="1"/>
    <col min="10477" max="10477" width="10.44140625" customWidth="1"/>
    <col min="10478" max="10478" width="10.6640625" customWidth="1"/>
    <col min="10479" max="10479" width="52.88671875" customWidth="1"/>
    <col min="10480" max="10480" width="14.44140625" customWidth="1"/>
    <col min="10481" max="10481" width="15.44140625" customWidth="1"/>
    <col min="10482" max="10482" width="13.33203125" customWidth="1"/>
    <col min="10483" max="10483" width="10.88671875" customWidth="1"/>
    <col min="10484" max="10484" width="7.88671875" customWidth="1"/>
    <col min="10485" max="10485" width="13" customWidth="1"/>
    <col min="10486" max="10486" width="12.44140625" customWidth="1"/>
    <col min="10487" max="10487" width="0" hidden="1" customWidth="1"/>
    <col min="10488" max="10488" width="12.44140625" customWidth="1"/>
    <col min="10489" max="10489" width="9.44140625" customWidth="1"/>
    <col min="10490" max="10490" width="10" customWidth="1"/>
    <col min="10491" max="10491" width="12.44140625" customWidth="1"/>
    <col min="10492" max="10492" width="14.33203125" customWidth="1"/>
    <col min="10493" max="10499" width="0" hidden="1" customWidth="1"/>
    <col min="10500" max="10729" width="7.88671875" customWidth="1"/>
    <col min="10731" max="10731" width="0" hidden="1" customWidth="1"/>
    <col min="10732" max="10732" width="11.44140625" customWidth="1"/>
    <col min="10733" max="10733" width="10.44140625" customWidth="1"/>
    <col min="10734" max="10734" width="10.6640625" customWidth="1"/>
    <col min="10735" max="10735" width="52.88671875" customWidth="1"/>
    <col min="10736" max="10736" width="14.44140625" customWidth="1"/>
    <col min="10737" max="10737" width="15.44140625" customWidth="1"/>
    <col min="10738" max="10738" width="13.33203125" customWidth="1"/>
    <col min="10739" max="10739" width="10.88671875" customWidth="1"/>
    <col min="10740" max="10740" width="7.88671875" customWidth="1"/>
    <col min="10741" max="10741" width="13" customWidth="1"/>
    <col min="10742" max="10742" width="12.44140625" customWidth="1"/>
    <col min="10743" max="10743" width="0" hidden="1" customWidth="1"/>
    <col min="10744" max="10744" width="12.44140625" customWidth="1"/>
    <col min="10745" max="10745" width="9.44140625" customWidth="1"/>
    <col min="10746" max="10746" width="10" customWidth="1"/>
    <col min="10747" max="10747" width="12.44140625" customWidth="1"/>
    <col min="10748" max="10748" width="14.33203125" customWidth="1"/>
    <col min="10749" max="10755" width="0" hidden="1" customWidth="1"/>
    <col min="10756" max="10985" width="7.88671875" customWidth="1"/>
    <col min="10987" max="10987" width="0" hidden="1" customWidth="1"/>
    <col min="10988" max="10988" width="11.44140625" customWidth="1"/>
    <col min="10989" max="10989" width="10.44140625" customWidth="1"/>
    <col min="10990" max="10990" width="10.6640625" customWidth="1"/>
    <col min="10991" max="10991" width="52.88671875" customWidth="1"/>
    <col min="10992" max="10992" width="14.44140625" customWidth="1"/>
    <col min="10993" max="10993" width="15.44140625" customWidth="1"/>
    <col min="10994" max="10994" width="13.33203125" customWidth="1"/>
    <col min="10995" max="10995" width="10.88671875" customWidth="1"/>
    <col min="10996" max="10996" width="7.88671875" customWidth="1"/>
    <col min="10997" max="10997" width="13" customWidth="1"/>
    <col min="10998" max="10998" width="12.44140625" customWidth="1"/>
    <col min="10999" max="10999" width="0" hidden="1" customWidth="1"/>
    <col min="11000" max="11000" width="12.44140625" customWidth="1"/>
    <col min="11001" max="11001" width="9.44140625" customWidth="1"/>
    <col min="11002" max="11002" width="10" customWidth="1"/>
    <col min="11003" max="11003" width="12.44140625" customWidth="1"/>
    <col min="11004" max="11004" width="14.33203125" customWidth="1"/>
    <col min="11005" max="11011" width="0" hidden="1" customWidth="1"/>
    <col min="11012" max="11241" width="7.88671875" customWidth="1"/>
    <col min="11243" max="11243" width="0" hidden="1" customWidth="1"/>
    <col min="11244" max="11244" width="11.44140625" customWidth="1"/>
    <col min="11245" max="11245" width="10.44140625" customWidth="1"/>
    <col min="11246" max="11246" width="10.6640625" customWidth="1"/>
    <col min="11247" max="11247" width="52.88671875" customWidth="1"/>
    <col min="11248" max="11248" width="14.44140625" customWidth="1"/>
    <col min="11249" max="11249" width="15.44140625" customWidth="1"/>
    <col min="11250" max="11250" width="13.33203125" customWidth="1"/>
    <col min="11251" max="11251" width="10.88671875" customWidth="1"/>
    <col min="11252" max="11252" width="7.88671875" customWidth="1"/>
    <col min="11253" max="11253" width="13" customWidth="1"/>
    <col min="11254" max="11254" width="12.44140625" customWidth="1"/>
    <col min="11255" max="11255" width="0" hidden="1" customWidth="1"/>
    <col min="11256" max="11256" width="12.44140625" customWidth="1"/>
    <col min="11257" max="11257" width="9.44140625" customWidth="1"/>
    <col min="11258" max="11258" width="10" customWidth="1"/>
    <col min="11259" max="11259" width="12.44140625" customWidth="1"/>
    <col min="11260" max="11260" width="14.33203125" customWidth="1"/>
    <col min="11261" max="11267" width="0" hidden="1" customWidth="1"/>
    <col min="11268" max="11497" width="7.88671875" customWidth="1"/>
    <col min="11499" max="11499" width="0" hidden="1" customWidth="1"/>
    <col min="11500" max="11500" width="11.44140625" customWidth="1"/>
    <col min="11501" max="11501" width="10.44140625" customWidth="1"/>
    <col min="11502" max="11502" width="10.6640625" customWidth="1"/>
    <col min="11503" max="11503" width="52.88671875" customWidth="1"/>
    <col min="11504" max="11504" width="14.44140625" customWidth="1"/>
    <col min="11505" max="11505" width="15.44140625" customWidth="1"/>
    <col min="11506" max="11506" width="13.33203125" customWidth="1"/>
    <col min="11507" max="11507" width="10.88671875" customWidth="1"/>
    <col min="11508" max="11508" width="7.88671875" customWidth="1"/>
    <col min="11509" max="11509" width="13" customWidth="1"/>
    <col min="11510" max="11510" width="12.44140625" customWidth="1"/>
    <col min="11511" max="11511" width="0" hidden="1" customWidth="1"/>
    <col min="11512" max="11512" width="12.44140625" customWidth="1"/>
    <col min="11513" max="11513" width="9.44140625" customWidth="1"/>
    <col min="11514" max="11514" width="10" customWidth="1"/>
    <col min="11515" max="11515" width="12.44140625" customWidth="1"/>
    <col min="11516" max="11516" width="14.33203125" customWidth="1"/>
    <col min="11517" max="11523" width="0" hidden="1" customWidth="1"/>
    <col min="11524" max="11753" width="7.88671875" customWidth="1"/>
    <col min="11755" max="11755" width="0" hidden="1" customWidth="1"/>
    <col min="11756" max="11756" width="11.44140625" customWidth="1"/>
    <col min="11757" max="11757" width="10.44140625" customWidth="1"/>
    <col min="11758" max="11758" width="10.6640625" customWidth="1"/>
    <col min="11759" max="11759" width="52.88671875" customWidth="1"/>
    <col min="11760" max="11760" width="14.44140625" customWidth="1"/>
    <col min="11761" max="11761" width="15.44140625" customWidth="1"/>
    <col min="11762" max="11762" width="13.33203125" customWidth="1"/>
    <col min="11763" max="11763" width="10.88671875" customWidth="1"/>
    <col min="11764" max="11764" width="7.88671875" customWidth="1"/>
    <col min="11765" max="11765" width="13" customWidth="1"/>
    <col min="11766" max="11766" width="12.44140625" customWidth="1"/>
    <col min="11767" max="11767" width="0" hidden="1" customWidth="1"/>
    <col min="11768" max="11768" width="12.44140625" customWidth="1"/>
    <col min="11769" max="11769" width="9.44140625" customWidth="1"/>
    <col min="11770" max="11770" width="10" customWidth="1"/>
    <col min="11771" max="11771" width="12.44140625" customWidth="1"/>
    <col min="11772" max="11772" width="14.33203125" customWidth="1"/>
    <col min="11773" max="11779" width="0" hidden="1" customWidth="1"/>
    <col min="11780" max="12009" width="7.88671875" customWidth="1"/>
    <col min="12011" max="12011" width="0" hidden="1" customWidth="1"/>
    <col min="12012" max="12012" width="11.44140625" customWidth="1"/>
    <col min="12013" max="12013" width="10.44140625" customWidth="1"/>
    <col min="12014" max="12014" width="10.6640625" customWidth="1"/>
    <col min="12015" max="12015" width="52.88671875" customWidth="1"/>
    <col min="12016" max="12016" width="14.44140625" customWidth="1"/>
    <col min="12017" max="12017" width="15.44140625" customWidth="1"/>
    <col min="12018" max="12018" width="13.33203125" customWidth="1"/>
    <col min="12019" max="12019" width="10.88671875" customWidth="1"/>
    <col min="12020" max="12020" width="7.88671875" customWidth="1"/>
    <col min="12021" max="12021" width="13" customWidth="1"/>
    <col min="12022" max="12022" width="12.44140625" customWidth="1"/>
    <col min="12023" max="12023" width="0" hidden="1" customWidth="1"/>
    <col min="12024" max="12024" width="12.44140625" customWidth="1"/>
    <col min="12025" max="12025" width="9.44140625" customWidth="1"/>
    <col min="12026" max="12026" width="10" customWidth="1"/>
    <col min="12027" max="12027" width="12.44140625" customWidth="1"/>
    <col min="12028" max="12028" width="14.33203125" customWidth="1"/>
    <col min="12029" max="12035" width="0" hidden="1" customWidth="1"/>
    <col min="12036" max="12265" width="7.88671875" customWidth="1"/>
    <col min="12267" max="12267" width="0" hidden="1" customWidth="1"/>
    <col min="12268" max="12268" width="11.44140625" customWidth="1"/>
    <col min="12269" max="12269" width="10.44140625" customWidth="1"/>
    <col min="12270" max="12270" width="10.6640625" customWidth="1"/>
    <col min="12271" max="12271" width="52.88671875" customWidth="1"/>
    <col min="12272" max="12272" width="14.44140625" customWidth="1"/>
    <col min="12273" max="12273" width="15.44140625" customWidth="1"/>
    <col min="12274" max="12274" width="13.33203125" customWidth="1"/>
    <col min="12275" max="12275" width="10.88671875" customWidth="1"/>
    <col min="12276" max="12276" width="7.88671875" customWidth="1"/>
    <col min="12277" max="12277" width="13" customWidth="1"/>
    <col min="12278" max="12278" width="12.44140625" customWidth="1"/>
    <col min="12279" max="12279" width="0" hidden="1" customWidth="1"/>
    <col min="12280" max="12280" width="12.44140625" customWidth="1"/>
    <col min="12281" max="12281" width="9.44140625" customWidth="1"/>
    <col min="12282" max="12282" width="10" customWidth="1"/>
    <col min="12283" max="12283" width="12.44140625" customWidth="1"/>
    <col min="12284" max="12284" width="14.33203125" customWidth="1"/>
    <col min="12285" max="12291" width="0" hidden="1" customWidth="1"/>
    <col min="12292" max="12521" width="7.88671875" customWidth="1"/>
    <col min="12523" max="12523" width="0" hidden="1" customWidth="1"/>
    <col min="12524" max="12524" width="11.44140625" customWidth="1"/>
    <col min="12525" max="12525" width="10.44140625" customWidth="1"/>
    <col min="12526" max="12526" width="10.6640625" customWidth="1"/>
    <col min="12527" max="12527" width="52.88671875" customWidth="1"/>
    <col min="12528" max="12528" width="14.44140625" customWidth="1"/>
    <col min="12529" max="12529" width="15.44140625" customWidth="1"/>
    <col min="12530" max="12530" width="13.33203125" customWidth="1"/>
    <col min="12531" max="12531" width="10.88671875" customWidth="1"/>
    <col min="12532" max="12532" width="7.88671875" customWidth="1"/>
    <col min="12533" max="12533" width="13" customWidth="1"/>
    <col min="12534" max="12534" width="12.44140625" customWidth="1"/>
    <col min="12535" max="12535" width="0" hidden="1" customWidth="1"/>
    <col min="12536" max="12536" width="12.44140625" customWidth="1"/>
    <col min="12537" max="12537" width="9.44140625" customWidth="1"/>
    <col min="12538" max="12538" width="10" customWidth="1"/>
    <col min="12539" max="12539" width="12.44140625" customWidth="1"/>
    <col min="12540" max="12540" width="14.33203125" customWidth="1"/>
    <col min="12541" max="12547" width="0" hidden="1" customWidth="1"/>
    <col min="12548" max="12777" width="7.88671875" customWidth="1"/>
    <col min="12779" max="12779" width="0" hidden="1" customWidth="1"/>
    <col min="12780" max="12780" width="11.44140625" customWidth="1"/>
    <col min="12781" max="12781" width="10.44140625" customWidth="1"/>
    <col min="12782" max="12782" width="10.6640625" customWidth="1"/>
    <col min="12783" max="12783" width="52.88671875" customWidth="1"/>
    <col min="12784" max="12784" width="14.44140625" customWidth="1"/>
    <col min="12785" max="12785" width="15.44140625" customWidth="1"/>
    <col min="12786" max="12786" width="13.33203125" customWidth="1"/>
    <col min="12787" max="12787" width="10.88671875" customWidth="1"/>
    <col min="12788" max="12788" width="7.88671875" customWidth="1"/>
    <col min="12789" max="12789" width="13" customWidth="1"/>
    <col min="12790" max="12790" width="12.44140625" customWidth="1"/>
    <col min="12791" max="12791" width="0" hidden="1" customWidth="1"/>
    <col min="12792" max="12792" width="12.44140625" customWidth="1"/>
    <col min="12793" max="12793" width="9.44140625" customWidth="1"/>
    <col min="12794" max="12794" width="10" customWidth="1"/>
    <col min="12795" max="12795" width="12.44140625" customWidth="1"/>
    <col min="12796" max="12796" width="14.33203125" customWidth="1"/>
    <col min="12797" max="12803" width="0" hidden="1" customWidth="1"/>
    <col min="12804" max="13033" width="7.88671875" customWidth="1"/>
    <col min="13035" max="13035" width="0" hidden="1" customWidth="1"/>
    <col min="13036" max="13036" width="11.44140625" customWidth="1"/>
    <col min="13037" max="13037" width="10.44140625" customWidth="1"/>
    <col min="13038" max="13038" width="10.6640625" customWidth="1"/>
    <col min="13039" max="13039" width="52.88671875" customWidth="1"/>
    <col min="13040" max="13040" width="14.44140625" customWidth="1"/>
    <col min="13041" max="13041" width="15.44140625" customWidth="1"/>
    <col min="13042" max="13042" width="13.33203125" customWidth="1"/>
    <col min="13043" max="13043" width="10.88671875" customWidth="1"/>
    <col min="13044" max="13044" width="7.88671875" customWidth="1"/>
    <col min="13045" max="13045" width="13" customWidth="1"/>
    <col min="13046" max="13046" width="12.44140625" customWidth="1"/>
    <col min="13047" max="13047" width="0" hidden="1" customWidth="1"/>
    <col min="13048" max="13048" width="12.44140625" customWidth="1"/>
    <col min="13049" max="13049" width="9.44140625" customWidth="1"/>
    <col min="13050" max="13050" width="10" customWidth="1"/>
    <col min="13051" max="13051" width="12.44140625" customWidth="1"/>
    <col min="13052" max="13052" width="14.33203125" customWidth="1"/>
    <col min="13053" max="13059" width="0" hidden="1" customWidth="1"/>
    <col min="13060" max="13289" width="7.88671875" customWidth="1"/>
    <col min="13291" max="13291" width="0" hidden="1" customWidth="1"/>
    <col min="13292" max="13292" width="11.44140625" customWidth="1"/>
    <col min="13293" max="13293" width="10.44140625" customWidth="1"/>
    <col min="13294" max="13294" width="10.6640625" customWidth="1"/>
    <col min="13295" max="13295" width="52.88671875" customWidth="1"/>
    <col min="13296" max="13296" width="14.44140625" customWidth="1"/>
    <col min="13297" max="13297" width="15.44140625" customWidth="1"/>
    <col min="13298" max="13298" width="13.33203125" customWidth="1"/>
    <col min="13299" max="13299" width="10.88671875" customWidth="1"/>
    <col min="13300" max="13300" width="7.88671875" customWidth="1"/>
    <col min="13301" max="13301" width="13" customWidth="1"/>
    <col min="13302" max="13302" width="12.44140625" customWidth="1"/>
    <col min="13303" max="13303" width="0" hidden="1" customWidth="1"/>
    <col min="13304" max="13304" width="12.44140625" customWidth="1"/>
    <col min="13305" max="13305" width="9.44140625" customWidth="1"/>
    <col min="13306" max="13306" width="10" customWidth="1"/>
    <col min="13307" max="13307" width="12.44140625" customWidth="1"/>
    <col min="13308" max="13308" width="14.33203125" customWidth="1"/>
    <col min="13309" max="13315" width="0" hidden="1" customWidth="1"/>
    <col min="13316" max="13545" width="7.88671875" customWidth="1"/>
    <col min="13547" max="13547" width="0" hidden="1" customWidth="1"/>
    <col min="13548" max="13548" width="11.44140625" customWidth="1"/>
    <col min="13549" max="13549" width="10.44140625" customWidth="1"/>
    <col min="13550" max="13550" width="10.6640625" customWidth="1"/>
    <col min="13551" max="13551" width="52.88671875" customWidth="1"/>
    <col min="13552" max="13552" width="14.44140625" customWidth="1"/>
    <col min="13553" max="13553" width="15.44140625" customWidth="1"/>
    <col min="13554" max="13554" width="13.33203125" customWidth="1"/>
    <col min="13555" max="13555" width="10.88671875" customWidth="1"/>
    <col min="13556" max="13556" width="7.88671875" customWidth="1"/>
    <col min="13557" max="13557" width="13" customWidth="1"/>
    <col min="13558" max="13558" width="12.44140625" customWidth="1"/>
    <col min="13559" max="13559" width="0" hidden="1" customWidth="1"/>
    <col min="13560" max="13560" width="12.44140625" customWidth="1"/>
    <col min="13561" max="13561" width="9.44140625" customWidth="1"/>
    <col min="13562" max="13562" width="10" customWidth="1"/>
    <col min="13563" max="13563" width="12.44140625" customWidth="1"/>
    <col min="13564" max="13564" width="14.33203125" customWidth="1"/>
    <col min="13565" max="13571" width="0" hidden="1" customWidth="1"/>
    <col min="13572" max="13801" width="7.88671875" customWidth="1"/>
    <col min="13803" max="13803" width="0" hidden="1" customWidth="1"/>
    <col min="13804" max="13804" width="11.44140625" customWidth="1"/>
    <col min="13805" max="13805" width="10.44140625" customWidth="1"/>
    <col min="13806" max="13806" width="10.6640625" customWidth="1"/>
    <col min="13807" max="13807" width="52.88671875" customWidth="1"/>
    <col min="13808" max="13808" width="14.44140625" customWidth="1"/>
    <col min="13809" max="13809" width="15.44140625" customWidth="1"/>
    <col min="13810" max="13810" width="13.33203125" customWidth="1"/>
    <col min="13811" max="13811" width="10.88671875" customWidth="1"/>
    <col min="13812" max="13812" width="7.88671875" customWidth="1"/>
    <col min="13813" max="13813" width="13" customWidth="1"/>
    <col min="13814" max="13814" width="12.44140625" customWidth="1"/>
    <col min="13815" max="13815" width="0" hidden="1" customWidth="1"/>
    <col min="13816" max="13816" width="12.44140625" customWidth="1"/>
    <col min="13817" max="13817" width="9.44140625" customWidth="1"/>
    <col min="13818" max="13818" width="10" customWidth="1"/>
    <col min="13819" max="13819" width="12.44140625" customWidth="1"/>
    <col min="13820" max="13820" width="14.33203125" customWidth="1"/>
    <col min="13821" max="13827" width="0" hidden="1" customWidth="1"/>
    <col min="13828" max="14057" width="7.88671875" customWidth="1"/>
    <col min="14059" max="14059" width="0" hidden="1" customWidth="1"/>
    <col min="14060" max="14060" width="11.44140625" customWidth="1"/>
    <col min="14061" max="14061" width="10.44140625" customWidth="1"/>
    <col min="14062" max="14062" width="10.6640625" customWidth="1"/>
    <col min="14063" max="14063" width="52.88671875" customWidth="1"/>
    <col min="14064" max="14064" width="14.44140625" customWidth="1"/>
    <col min="14065" max="14065" width="15.44140625" customWidth="1"/>
    <col min="14066" max="14066" width="13.33203125" customWidth="1"/>
    <col min="14067" max="14067" width="10.88671875" customWidth="1"/>
    <col min="14068" max="14068" width="7.88671875" customWidth="1"/>
    <col min="14069" max="14069" width="13" customWidth="1"/>
    <col min="14070" max="14070" width="12.44140625" customWidth="1"/>
    <col min="14071" max="14071" width="0" hidden="1" customWidth="1"/>
    <col min="14072" max="14072" width="12.44140625" customWidth="1"/>
    <col min="14073" max="14073" width="9.44140625" customWidth="1"/>
    <col min="14074" max="14074" width="10" customWidth="1"/>
    <col min="14075" max="14075" width="12.44140625" customWidth="1"/>
    <col min="14076" max="14076" width="14.33203125" customWidth="1"/>
    <col min="14077" max="14083" width="0" hidden="1" customWidth="1"/>
    <col min="14084" max="14313" width="7.88671875" customWidth="1"/>
    <col min="14315" max="14315" width="0" hidden="1" customWidth="1"/>
    <col min="14316" max="14316" width="11.44140625" customWidth="1"/>
    <col min="14317" max="14317" width="10.44140625" customWidth="1"/>
    <col min="14318" max="14318" width="10.6640625" customWidth="1"/>
    <col min="14319" max="14319" width="52.88671875" customWidth="1"/>
    <col min="14320" max="14320" width="14.44140625" customWidth="1"/>
    <col min="14321" max="14321" width="15.44140625" customWidth="1"/>
    <col min="14322" max="14322" width="13.33203125" customWidth="1"/>
    <col min="14323" max="14323" width="10.88671875" customWidth="1"/>
    <col min="14324" max="14324" width="7.88671875" customWidth="1"/>
    <col min="14325" max="14325" width="13" customWidth="1"/>
    <col min="14326" max="14326" width="12.44140625" customWidth="1"/>
    <col min="14327" max="14327" width="0" hidden="1" customWidth="1"/>
    <col min="14328" max="14328" width="12.44140625" customWidth="1"/>
    <col min="14329" max="14329" width="9.44140625" customWidth="1"/>
    <col min="14330" max="14330" width="10" customWidth="1"/>
    <col min="14331" max="14331" width="12.44140625" customWidth="1"/>
    <col min="14332" max="14332" width="14.33203125" customWidth="1"/>
    <col min="14333" max="14339" width="0" hidden="1" customWidth="1"/>
    <col min="14340" max="14569" width="7.88671875" customWidth="1"/>
    <col min="14571" max="14571" width="0" hidden="1" customWidth="1"/>
    <col min="14572" max="14572" width="11.44140625" customWidth="1"/>
    <col min="14573" max="14573" width="10.44140625" customWidth="1"/>
    <col min="14574" max="14574" width="10.6640625" customWidth="1"/>
    <col min="14575" max="14575" width="52.88671875" customWidth="1"/>
    <col min="14576" max="14576" width="14.44140625" customWidth="1"/>
    <col min="14577" max="14577" width="15.44140625" customWidth="1"/>
    <col min="14578" max="14578" width="13.33203125" customWidth="1"/>
    <col min="14579" max="14579" width="10.88671875" customWidth="1"/>
    <col min="14580" max="14580" width="7.88671875" customWidth="1"/>
    <col min="14581" max="14581" width="13" customWidth="1"/>
    <col min="14582" max="14582" width="12.44140625" customWidth="1"/>
    <col min="14583" max="14583" width="0" hidden="1" customWidth="1"/>
    <col min="14584" max="14584" width="12.44140625" customWidth="1"/>
    <col min="14585" max="14585" width="9.44140625" customWidth="1"/>
    <col min="14586" max="14586" width="10" customWidth="1"/>
    <col min="14587" max="14587" width="12.44140625" customWidth="1"/>
    <col min="14588" max="14588" width="14.33203125" customWidth="1"/>
    <col min="14589" max="14595" width="0" hidden="1" customWidth="1"/>
    <col min="14596" max="14825" width="7.88671875" customWidth="1"/>
    <col min="14827" max="14827" width="0" hidden="1" customWidth="1"/>
    <col min="14828" max="14828" width="11.44140625" customWidth="1"/>
    <col min="14829" max="14829" width="10.44140625" customWidth="1"/>
    <col min="14830" max="14830" width="10.6640625" customWidth="1"/>
    <col min="14831" max="14831" width="52.88671875" customWidth="1"/>
    <col min="14832" max="14832" width="14.44140625" customWidth="1"/>
    <col min="14833" max="14833" width="15.44140625" customWidth="1"/>
    <col min="14834" max="14834" width="13.33203125" customWidth="1"/>
    <col min="14835" max="14835" width="10.88671875" customWidth="1"/>
    <col min="14836" max="14836" width="7.88671875" customWidth="1"/>
    <col min="14837" max="14837" width="13" customWidth="1"/>
    <col min="14838" max="14838" width="12.44140625" customWidth="1"/>
    <col min="14839" max="14839" width="0" hidden="1" customWidth="1"/>
    <col min="14840" max="14840" width="12.44140625" customWidth="1"/>
    <col min="14841" max="14841" width="9.44140625" customWidth="1"/>
    <col min="14842" max="14842" width="10" customWidth="1"/>
    <col min="14843" max="14843" width="12.44140625" customWidth="1"/>
    <col min="14844" max="14844" width="14.33203125" customWidth="1"/>
    <col min="14845" max="14851" width="0" hidden="1" customWidth="1"/>
    <col min="14852" max="15081" width="7.88671875" customWidth="1"/>
    <col min="15083" max="15083" width="0" hidden="1" customWidth="1"/>
    <col min="15084" max="15084" width="11.44140625" customWidth="1"/>
    <col min="15085" max="15085" width="10.44140625" customWidth="1"/>
    <col min="15086" max="15086" width="10.6640625" customWidth="1"/>
    <col min="15087" max="15087" width="52.88671875" customWidth="1"/>
    <col min="15088" max="15088" width="14.44140625" customWidth="1"/>
    <col min="15089" max="15089" width="15.44140625" customWidth="1"/>
    <col min="15090" max="15090" width="13.33203125" customWidth="1"/>
    <col min="15091" max="15091" width="10.88671875" customWidth="1"/>
    <col min="15092" max="15092" width="7.88671875" customWidth="1"/>
    <col min="15093" max="15093" width="13" customWidth="1"/>
    <col min="15094" max="15094" width="12.44140625" customWidth="1"/>
    <col min="15095" max="15095" width="0" hidden="1" customWidth="1"/>
    <col min="15096" max="15096" width="12.44140625" customWidth="1"/>
    <col min="15097" max="15097" width="9.44140625" customWidth="1"/>
    <col min="15098" max="15098" width="10" customWidth="1"/>
    <col min="15099" max="15099" width="12.44140625" customWidth="1"/>
    <col min="15100" max="15100" width="14.33203125" customWidth="1"/>
    <col min="15101" max="15107" width="0" hidden="1" customWidth="1"/>
    <col min="15108" max="15337" width="7.88671875" customWidth="1"/>
    <col min="15339" max="15339" width="0" hidden="1" customWidth="1"/>
    <col min="15340" max="15340" width="11.44140625" customWidth="1"/>
    <col min="15341" max="15341" width="10.44140625" customWidth="1"/>
    <col min="15342" max="15342" width="10.6640625" customWidth="1"/>
    <col min="15343" max="15343" width="52.88671875" customWidth="1"/>
    <col min="15344" max="15344" width="14.44140625" customWidth="1"/>
    <col min="15345" max="15345" width="15.44140625" customWidth="1"/>
    <col min="15346" max="15346" width="13.33203125" customWidth="1"/>
    <col min="15347" max="15347" width="10.88671875" customWidth="1"/>
    <col min="15348" max="15348" width="7.88671875" customWidth="1"/>
    <col min="15349" max="15349" width="13" customWidth="1"/>
    <col min="15350" max="15350" width="12.44140625" customWidth="1"/>
    <col min="15351" max="15351" width="0" hidden="1" customWidth="1"/>
    <col min="15352" max="15352" width="12.44140625" customWidth="1"/>
    <col min="15353" max="15353" width="9.44140625" customWidth="1"/>
    <col min="15354" max="15354" width="10" customWidth="1"/>
    <col min="15355" max="15355" width="12.44140625" customWidth="1"/>
    <col min="15356" max="15356" width="14.33203125" customWidth="1"/>
    <col min="15357" max="15363" width="0" hidden="1" customWidth="1"/>
    <col min="15364" max="15593" width="7.88671875" customWidth="1"/>
    <col min="15595" max="15595" width="0" hidden="1" customWidth="1"/>
    <col min="15596" max="15596" width="11.44140625" customWidth="1"/>
    <col min="15597" max="15597" width="10.44140625" customWidth="1"/>
    <col min="15598" max="15598" width="10.6640625" customWidth="1"/>
    <col min="15599" max="15599" width="52.88671875" customWidth="1"/>
    <col min="15600" max="15600" width="14.44140625" customWidth="1"/>
    <col min="15601" max="15601" width="15.44140625" customWidth="1"/>
    <col min="15602" max="15602" width="13.33203125" customWidth="1"/>
    <col min="15603" max="15603" width="10.88671875" customWidth="1"/>
    <col min="15604" max="15604" width="7.88671875" customWidth="1"/>
    <col min="15605" max="15605" width="13" customWidth="1"/>
    <col min="15606" max="15606" width="12.44140625" customWidth="1"/>
    <col min="15607" max="15607" width="0" hidden="1" customWidth="1"/>
    <col min="15608" max="15608" width="12.44140625" customWidth="1"/>
    <col min="15609" max="15609" width="9.44140625" customWidth="1"/>
    <col min="15610" max="15610" width="10" customWidth="1"/>
    <col min="15611" max="15611" width="12.44140625" customWidth="1"/>
    <col min="15612" max="15612" width="14.33203125" customWidth="1"/>
    <col min="15613" max="15619" width="0" hidden="1" customWidth="1"/>
    <col min="15620" max="15849" width="7.88671875" customWidth="1"/>
    <col min="15851" max="15851" width="0" hidden="1" customWidth="1"/>
    <col min="15852" max="15852" width="11.44140625" customWidth="1"/>
    <col min="15853" max="15853" width="10.44140625" customWidth="1"/>
    <col min="15854" max="15854" width="10.6640625" customWidth="1"/>
    <col min="15855" max="15855" width="52.88671875" customWidth="1"/>
    <col min="15856" max="15856" width="14.44140625" customWidth="1"/>
    <col min="15857" max="15857" width="15.44140625" customWidth="1"/>
    <col min="15858" max="15858" width="13.33203125" customWidth="1"/>
    <col min="15859" max="15859" width="10.88671875" customWidth="1"/>
    <col min="15860" max="15860" width="7.88671875" customWidth="1"/>
    <col min="15861" max="15861" width="13" customWidth="1"/>
    <col min="15862" max="15862" width="12.44140625" customWidth="1"/>
    <col min="15863" max="15863" width="0" hidden="1" customWidth="1"/>
    <col min="15864" max="15864" width="12.44140625" customWidth="1"/>
    <col min="15865" max="15865" width="9.44140625" customWidth="1"/>
    <col min="15866" max="15866" width="10" customWidth="1"/>
    <col min="15867" max="15867" width="12.44140625" customWidth="1"/>
    <col min="15868" max="15868" width="14.33203125" customWidth="1"/>
    <col min="15869" max="15875" width="0" hidden="1" customWidth="1"/>
    <col min="15876" max="16105" width="7.88671875" customWidth="1"/>
    <col min="16107" max="16107" width="0" hidden="1" customWidth="1"/>
    <col min="16108" max="16108" width="11.44140625" customWidth="1"/>
    <col min="16109" max="16109" width="10.44140625" customWidth="1"/>
    <col min="16110" max="16110" width="10.6640625" customWidth="1"/>
    <col min="16111" max="16111" width="52.88671875" customWidth="1"/>
    <col min="16112" max="16112" width="14.44140625" customWidth="1"/>
    <col min="16113" max="16113" width="15.44140625" customWidth="1"/>
    <col min="16114" max="16114" width="13.33203125" customWidth="1"/>
    <col min="16115" max="16115" width="10.88671875" customWidth="1"/>
    <col min="16116" max="16116" width="7.88671875" customWidth="1"/>
    <col min="16117" max="16117" width="13" customWidth="1"/>
    <col min="16118" max="16118" width="12.44140625" customWidth="1"/>
    <col min="16119" max="16119" width="0" hidden="1" customWidth="1"/>
    <col min="16120" max="16120" width="12.44140625" customWidth="1"/>
    <col min="16121" max="16121" width="9.44140625" customWidth="1"/>
    <col min="16122" max="16122" width="10" customWidth="1"/>
    <col min="16123" max="16123" width="12.44140625" customWidth="1"/>
    <col min="16124" max="16124" width="14.33203125" customWidth="1"/>
    <col min="16125" max="16131" width="0" hidden="1" customWidth="1"/>
    <col min="16132" max="16361" width="7.88671875" customWidth="1"/>
  </cols>
  <sheetData>
    <row r="1" spans="1:19" ht="15.6" x14ac:dyDescent="0.3">
      <c r="A1" s="71"/>
      <c r="B1" s="72"/>
      <c r="C1" s="72"/>
      <c r="D1" s="72"/>
      <c r="E1" s="72"/>
      <c r="F1" s="72"/>
      <c r="G1" s="72"/>
      <c r="H1" s="72"/>
      <c r="I1" s="72"/>
      <c r="J1" s="72"/>
      <c r="K1" s="278"/>
      <c r="L1" s="222" t="s">
        <v>675</v>
      </c>
      <c r="M1" s="278"/>
      <c r="N1" s="222"/>
      <c r="O1" s="222"/>
      <c r="P1" s="222"/>
      <c r="Q1" s="278"/>
      <c r="R1" s="72"/>
      <c r="S1" s="73"/>
    </row>
    <row r="2" spans="1:19" ht="15.6" x14ac:dyDescent="0.3">
      <c r="A2" s="71"/>
      <c r="B2" s="72"/>
      <c r="C2" s="72"/>
      <c r="D2" s="72"/>
      <c r="E2" s="72"/>
      <c r="F2" s="72"/>
      <c r="G2" s="72"/>
      <c r="H2" s="72"/>
      <c r="I2" s="72"/>
      <c r="J2" s="72"/>
      <c r="K2" s="278"/>
      <c r="L2" s="193" t="s">
        <v>612</v>
      </c>
      <c r="M2" s="278"/>
      <c r="N2" s="4"/>
      <c r="O2" s="222"/>
      <c r="P2" s="222"/>
      <c r="Q2" s="278"/>
      <c r="R2" s="72"/>
      <c r="S2" s="73"/>
    </row>
    <row r="3" spans="1:19" ht="15.6" x14ac:dyDescent="0.3">
      <c r="A3" s="71"/>
      <c r="B3" s="72"/>
      <c r="C3" s="72"/>
      <c r="D3" s="72"/>
      <c r="E3" s="72"/>
      <c r="F3" s="72"/>
      <c r="G3" s="72"/>
      <c r="H3" s="72"/>
      <c r="I3" s="72"/>
      <c r="J3" s="72"/>
      <c r="K3" s="278"/>
      <c r="L3" s="193" t="s">
        <v>1106</v>
      </c>
      <c r="M3" s="278"/>
      <c r="N3" s="4"/>
      <c r="O3" s="222"/>
      <c r="P3" s="222"/>
      <c r="Q3" s="278"/>
      <c r="R3" s="72"/>
      <c r="S3" s="73"/>
    </row>
    <row r="4" spans="1:19" ht="15.6" x14ac:dyDescent="0.3">
      <c r="A4" s="71"/>
      <c r="B4" s="72"/>
      <c r="C4" s="72"/>
      <c r="D4" s="72"/>
      <c r="E4" s="72"/>
      <c r="F4" s="72"/>
      <c r="G4" s="72"/>
      <c r="H4" s="72"/>
      <c r="I4" s="72"/>
      <c r="J4" s="72"/>
      <c r="K4" s="278"/>
      <c r="L4" s="193" t="s">
        <v>1460</v>
      </c>
      <c r="M4" s="278"/>
      <c r="N4" s="193"/>
      <c r="O4" s="279"/>
      <c r="P4" s="279"/>
      <c r="Q4" s="278"/>
      <c r="R4" s="72"/>
      <c r="S4" s="73"/>
    </row>
    <row r="5" spans="1:19" ht="15.6" hidden="1" x14ac:dyDescent="0.3">
      <c r="A5" s="71"/>
      <c r="B5" s="72"/>
      <c r="C5" s="72"/>
      <c r="D5" s="72"/>
      <c r="E5" s="72"/>
      <c r="F5" s="72"/>
      <c r="G5" s="72"/>
      <c r="H5" s="72"/>
      <c r="I5" s="72"/>
      <c r="J5" s="72"/>
      <c r="K5" s="278"/>
      <c r="L5" s="5"/>
      <c r="M5" s="278"/>
      <c r="N5" s="193"/>
      <c r="O5" s="279"/>
      <c r="P5" s="279"/>
      <c r="Q5" s="278"/>
      <c r="R5" s="72"/>
      <c r="S5" s="73"/>
    </row>
    <row r="6" spans="1:19" ht="37.950000000000003" customHeight="1" x14ac:dyDescent="0.3">
      <c r="A6" s="71"/>
      <c r="B6" s="1322" t="s">
        <v>1166</v>
      </c>
      <c r="C6" s="1322"/>
      <c r="D6" s="1322"/>
      <c r="E6" s="1322"/>
      <c r="F6" s="1322"/>
      <c r="G6" s="1322"/>
      <c r="H6" s="1322"/>
      <c r="I6" s="1322"/>
      <c r="J6" s="1322"/>
      <c r="K6" s="1322"/>
      <c r="L6" s="1322"/>
      <c r="M6" s="1322"/>
      <c r="N6" s="1322"/>
      <c r="O6" s="1322"/>
      <c r="P6" s="1322"/>
      <c r="Q6" s="1322"/>
      <c r="R6" s="1322"/>
      <c r="S6" s="73"/>
    </row>
    <row r="7" spans="1:19" ht="18" customHeight="1" thickBot="1" x14ac:dyDescent="0.35">
      <c r="A7" s="71"/>
      <c r="B7" s="144"/>
      <c r="C7" s="1348" t="s">
        <v>676</v>
      </c>
      <c r="D7" s="1348"/>
      <c r="E7" s="75">
        <v>1150300000</v>
      </c>
      <c r="F7" s="144"/>
      <c r="G7" s="144"/>
      <c r="H7" s="144"/>
      <c r="I7" s="144"/>
      <c r="J7" s="144"/>
      <c r="K7" s="144"/>
      <c r="L7" s="144"/>
      <c r="M7" s="144"/>
      <c r="N7" s="144"/>
      <c r="O7" s="144"/>
      <c r="P7" s="144"/>
      <c r="Q7" s="144"/>
      <c r="R7" s="280" t="s">
        <v>624</v>
      </c>
      <c r="S7" s="73"/>
    </row>
    <row r="8" spans="1:19" ht="19.5" hidden="1" customHeight="1" thickBot="1" x14ac:dyDescent="0.35">
      <c r="A8" s="71"/>
      <c r="B8" s="144"/>
      <c r="C8" s="75"/>
      <c r="D8" s="144"/>
      <c r="E8" s="75"/>
      <c r="F8" s="144"/>
      <c r="G8" s="144"/>
      <c r="H8" s="144"/>
      <c r="I8" s="144"/>
      <c r="J8" s="144"/>
      <c r="K8" s="144"/>
      <c r="L8" s="144"/>
      <c r="M8" s="144"/>
      <c r="N8" s="144"/>
      <c r="O8" s="144"/>
      <c r="P8" s="144"/>
      <c r="Q8" s="144"/>
      <c r="R8" s="280" t="s">
        <v>624</v>
      </c>
      <c r="S8" s="73"/>
    </row>
    <row r="9" spans="1:19" s="77" customFormat="1" ht="21.75" customHeight="1" x14ac:dyDescent="0.25">
      <c r="A9" s="76"/>
      <c r="B9" s="1323" t="s">
        <v>625</v>
      </c>
      <c r="C9" s="1325" t="s">
        <v>626</v>
      </c>
      <c r="D9" s="1349" t="s">
        <v>249</v>
      </c>
      <c r="E9" s="1331" t="s">
        <v>627</v>
      </c>
      <c r="F9" s="1331" t="s">
        <v>245</v>
      </c>
      <c r="G9" s="1331"/>
      <c r="H9" s="1331"/>
      <c r="I9" s="1331"/>
      <c r="J9" s="1331"/>
      <c r="K9" s="1331" t="s">
        <v>244</v>
      </c>
      <c r="L9" s="1331"/>
      <c r="M9" s="1331"/>
      <c r="N9" s="1331"/>
      <c r="O9" s="1331"/>
      <c r="P9" s="1331"/>
      <c r="Q9" s="1331"/>
      <c r="R9" s="1352" t="s">
        <v>426</v>
      </c>
    </row>
    <row r="10" spans="1:19" s="77" customFormat="1" ht="16.5" customHeight="1" x14ac:dyDescent="0.25">
      <c r="A10" s="78"/>
      <c r="B10" s="1324"/>
      <c r="C10" s="1326"/>
      <c r="D10" s="1350"/>
      <c r="E10" s="1335"/>
      <c r="F10" s="1335" t="s">
        <v>246</v>
      </c>
      <c r="G10" s="1339" t="s">
        <v>427</v>
      </c>
      <c r="H10" s="1335" t="s">
        <v>428</v>
      </c>
      <c r="I10" s="1335"/>
      <c r="J10" s="1339" t="s">
        <v>0</v>
      </c>
      <c r="K10" s="1335" t="s">
        <v>246</v>
      </c>
      <c r="L10" s="281"/>
      <c r="M10" s="1340" t="s">
        <v>429</v>
      </c>
      <c r="N10" s="1226"/>
      <c r="O10" s="1346" t="s">
        <v>428</v>
      </c>
      <c r="P10" s="1347"/>
      <c r="Q10" s="1339" t="s">
        <v>0</v>
      </c>
      <c r="R10" s="1353"/>
    </row>
    <row r="11" spans="1:19" s="77" customFormat="1" ht="39" customHeight="1" thickBot="1" x14ac:dyDescent="0.3">
      <c r="A11" s="79"/>
      <c r="B11" s="1324"/>
      <c r="C11" s="1326"/>
      <c r="D11" s="1351"/>
      <c r="E11" s="1336"/>
      <c r="F11" s="1336"/>
      <c r="G11" s="1340"/>
      <c r="H11" s="1226" t="s">
        <v>430</v>
      </c>
      <c r="I11" s="1226" t="s">
        <v>431</v>
      </c>
      <c r="J11" s="1340"/>
      <c r="K11" s="1336"/>
      <c r="L11" s="282" t="s">
        <v>242</v>
      </c>
      <c r="M11" s="1354"/>
      <c r="N11" s="283" t="s">
        <v>427</v>
      </c>
      <c r="O11" s="1226" t="s">
        <v>430</v>
      </c>
      <c r="P11" s="1226" t="s">
        <v>431</v>
      </c>
      <c r="Q11" s="1340"/>
      <c r="R11" s="1353"/>
    </row>
    <row r="12" spans="1:19" s="86" customFormat="1" ht="21" customHeight="1" thickBot="1" x14ac:dyDescent="0.35">
      <c r="A12" s="80"/>
      <c r="B12" s="81" t="s">
        <v>432</v>
      </c>
      <c r="C12" s="82" t="s">
        <v>433</v>
      </c>
      <c r="D12" s="82" t="s">
        <v>434</v>
      </c>
      <c r="E12" s="425">
        <v>4</v>
      </c>
      <c r="F12" s="85">
        <v>5</v>
      </c>
      <c r="G12" s="85">
        <v>6</v>
      </c>
      <c r="H12" s="85">
        <v>7</v>
      </c>
      <c r="I12" s="85">
        <v>8</v>
      </c>
      <c r="J12" s="85">
        <v>9</v>
      </c>
      <c r="K12" s="426">
        <v>10</v>
      </c>
      <c r="L12" s="426">
        <v>11</v>
      </c>
      <c r="M12" s="426">
        <v>12</v>
      </c>
      <c r="N12" s="426">
        <v>12</v>
      </c>
      <c r="O12" s="426">
        <v>13</v>
      </c>
      <c r="P12" s="426">
        <v>14</v>
      </c>
      <c r="Q12" s="426">
        <v>15</v>
      </c>
      <c r="R12" s="427">
        <v>16</v>
      </c>
    </row>
    <row r="13" spans="1:19" s="86" customFormat="1" ht="21.75" customHeight="1" x14ac:dyDescent="0.3">
      <c r="A13" s="80"/>
      <c r="B13" s="284" t="s">
        <v>435</v>
      </c>
      <c r="C13" s="285"/>
      <c r="D13" s="285"/>
      <c r="E13" s="286" t="s">
        <v>436</v>
      </c>
      <c r="F13" s="287">
        <f>F14</f>
        <v>-188244</v>
      </c>
      <c r="G13" s="287">
        <f t="shared" ref="G13:R13" si="0">G14</f>
        <v>-188244</v>
      </c>
      <c r="H13" s="287">
        <f t="shared" si="0"/>
        <v>0</v>
      </c>
      <c r="I13" s="287">
        <f t="shared" si="0"/>
        <v>-188244</v>
      </c>
      <c r="J13" s="287">
        <f t="shared" si="0"/>
        <v>0</v>
      </c>
      <c r="K13" s="288">
        <f t="shared" si="0"/>
        <v>0</v>
      </c>
      <c r="L13" s="288">
        <f t="shared" si="0"/>
        <v>0</v>
      </c>
      <c r="M13" s="288">
        <f t="shared" si="0"/>
        <v>0</v>
      </c>
      <c r="N13" s="288">
        <f t="shared" si="0"/>
        <v>0</v>
      </c>
      <c r="O13" s="288">
        <f t="shared" si="0"/>
        <v>0</v>
      </c>
      <c r="P13" s="288">
        <f t="shared" si="0"/>
        <v>0</v>
      </c>
      <c r="Q13" s="288">
        <f t="shared" si="0"/>
        <v>0</v>
      </c>
      <c r="R13" s="289">
        <f t="shared" si="0"/>
        <v>-188244</v>
      </c>
    </row>
    <row r="14" spans="1:19" s="77" customFormat="1" ht="18.75" customHeight="1" thickBot="1" x14ac:dyDescent="0.3">
      <c r="A14" s="90"/>
      <c r="B14" s="433" t="s">
        <v>437</v>
      </c>
      <c r="C14" s="434"/>
      <c r="D14" s="434"/>
      <c r="E14" s="435" t="s">
        <v>436</v>
      </c>
      <c r="F14" s="436">
        <f t="shared" ref="F14:Q14" si="1">F19+F21+F35+F36+F37+F38+F39+F40+F41+F42+F44+F45+F46+F47+F48+F49+F51+F56+F57+F59+F60+F61+F62+F65+F66+F67+F70+F73+F76+F80+F82+F83+F85+F87+F88+F89+F79+F74+F75+F29+F34+F22+F24+F58+F92+F68+F77+F71+F64+F69+F63+F81+F55+F53+F91</f>
        <v>-188244</v>
      </c>
      <c r="G14" s="436">
        <f>G19+G21+G35+G36+G37+G38+G39+G40+G41+G42+G44+G45+G46+G47+G48+G49+G51+G56+G57+G59+G60+G61+G62+G65+G66+G67+G70+G73+G76+G80+G82+G83+G85+G87+G88+G89+G79+G74+G75+G29+G34+G22+G24+G58+G92+G68+G77+G71+G64+G69+G63+G81+G55+G53+G91</f>
        <v>-188244</v>
      </c>
      <c r="H14" s="436">
        <f t="shared" si="1"/>
        <v>0</v>
      </c>
      <c r="I14" s="436">
        <f t="shared" si="1"/>
        <v>-188244</v>
      </c>
      <c r="J14" s="436">
        <f t="shared" si="1"/>
        <v>0</v>
      </c>
      <c r="K14" s="436">
        <f t="shared" si="1"/>
        <v>0</v>
      </c>
      <c r="L14" s="436">
        <f>L19+L21+L35+L36+L37+L38+L39+L40+L41+L42+L44+L45+L46+L47+L48+L49+L51+L56+L57+L59+L60+L61+L62+L65+L66+L67+L70+L73+L76+L80+L82+L83+L85+L87+L88+L89+L79+L74+L75+L29+L34+L22+L24+L58+L92+L68+L77+L71+L64+L69+L63+L81+L55+L53+L91</f>
        <v>0</v>
      </c>
      <c r="M14" s="436">
        <f t="shared" si="1"/>
        <v>0</v>
      </c>
      <c r="N14" s="436">
        <f t="shared" si="1"/>
        <v>0</v>
      </c>
      <c r="O14" s="436">
        <f t="shared" si="1"/>
        <v>0</v>
      </c>
      <c r="P14" s="436">
        <f t="shared" si="1"/>
        <v>0</v>
      </c>
      <c r="Q14" s="436">
        <f t="shared" si="1"/>
        <v>0</v>
      </c>
      <c r="R14" s="436">
        <f>R19+R21+R35+R36+R37+R38+R39+R40+R41+R42+R44+R45+R46+R47+R48+R49+R51+R56+R57+R59+R60+R61+R62+R65+R66+R67+R70+R73+R76+R80+R82+R83+R85+R87+R88+R89+R79+R74+R75+R29+R34+R22+R24+R58+R92+R68+R77+R71+R64+R69+R63+R81+R55+R53+R91</f>
        <v>-188244</v>
      </c>
    </row>
    <row r="15" spans="1:19" s="77" customFormat="1" ht="15.75" hidden="1" customHeight="1" x14ac:dyDescent="0.25">
      <c r="A15" s="90"/>
      <c r="B15" s="87"/>
      <c r="C15" s="88"/>
      <c r="D15" s="88"/>
      <c r="E15" s="428" t="s">
        <v>677</v>
      </c>
      <c r="F15" s="429">
        <f t="shared" ref="F15:F33" si="2">G15+J15</f>
        <v>0</v>
      </c>
      <c r="G15" s="423"/>
      <c r="H15" s="423"/>
      <c r="I15" s="423"/>
      <c r="J15" s="423"/>
      <c r="K15" s="430">
        <f>N15+L15</f>
        <v>0</v>
      </c>
      <c r="L15" s="431"/>
      <c r="M15" s="430"/>
      <c r="N15" s="430"/>
      <c r="O15" s="430"/>
      <c r="P15" s="430"/>
      <c r="Q15" s="430"/>
      <c r="R15" s="432">
        <f t="shared" ref="R15:R119" si="3">F15+K15</f>
        <v>0</v>
      </c>
    </row>
    <row r="16" spans="1:19" s="77" customFormat="1" ht="15.75" hidden="1" customHeight="1" x14ac:dyDescent="0.25">
      <c r="A16" s="90"/>
      <c r="B16" s="91"/>
      <c r="C16" s="92"/>
      <c r="D16" s="92"/>
      <c r="E16" s="291" t="s">
        <v>438</v>
      </c>
      <c r="F16" s="293">
        <f t="shared" si="2"/>
        <v>0</v>
      </c>
      <c r="G16" s="292">
        <f>G78</f>
        <v>0</v>
      </c>
      <c r="H16" s="292"/>
      <c r="I16" s="292"/>
      <c r="J16" s="292">
        <f t="shared" ref="J16:Q16" si="4">J90</f>
        <v>0</v>
      </c>
      <c r="K16" s="292">
        <f t="shared" si="4"/>
        <v>0</v>
      </c>
      <c r="L16" s="296">
        <f t="shared" si="4"/>
        <v>0</v>
      </c>
      <c r="M16" s="292">
        <f t="shared" si="4"/>
        <v>0</v>
      </c>
      <c r="N16" s="292">
        <f t="shared" si="4"/>
        <v>0</v>
      </c>
      <c r="O16" s="292">
        <f t="shared" si="4"/>
        <v>0</v>
      </c>
      <c r="P16" s="292">
        <f t="shared" si="4"/>
        <v>0</v>
      </c>
      <c r="Q16" s="292">
        <f t="shared" si="4"/>
        <v>0</v>
      </c>
      <c r="R16" s="297">
        <f t="shared" si="3"/>
        <v>0</v>
      </c>
    </row>
    <row r="17" spans="1:18" s="77" customFormat="1" ht="15.75" hidden="1" customHeight="1" x14ac:dyDescent="0.25">
      <c r="A17" s="90"/>
      <c r="B17" s="91"/>
      <c r="C17" s="92"/>
      <c r="D17" s="92"/>
      <c r="E17" s="291" t="s">
        <v>439</v>
      </c>
      <c r="F17" s="293"/>
      <c r="G17" s="293"/>
      <c r="H17" s="293"/>
      <c r="I17" s="293"/>
      <c r="J17" s="293"/>
      <c r="K17" s="293"/>
      <c r="L17" s="293"/>
      <c r="M17" s="293"/>
      <c r="N17" s="293"/>
      <c r="O17" s="293"/>
      <c r="P17" s="293"/>
      <c r="Q17" s="293"/>
      <c r="R17" s="297">
        <v>0</v>
      </c>
    </row>
    <row r="18" spans="1:18" s="77" customFormat="1" ht="46.8" hidden="1" x14ac:dyDescent="0.25">
      <c r="A18" s="90"/>
      <c r="B18" s="91"/>
      <c r="C18" s="92"/>
      <c r="D18" s="92"/>
      <c r="E18" s="291" t="s">
        <v>678</v>
      </c>
      <c r="F18" s="293">
        <f>F72</f>
        <v>0</v>
      </c>
      <c r="G18" s="293">
        <f>G72</f>
        <v>0</v>
      </c>
      <c r="H18" s="293">
        <f t="shared" ref="H18:R18" si="5">H72</f>
        <v>0</v>
      </c>
      <c r="I18" s="293">
        <f t="shared" si="5"/>
        <v>0</v>
      </c>
      <c r="J18" s="293">
        <f t="shared" si="5"/>
        <v>0</v>
      </c>
      <c r="K18" s="293">
        <f t="shared" si="5"/>
        <v>0</v>
      </c>
      <c r="L18" s="293">
        <f t="shared" si="5"/>
        <v>0</v>
      </c>
      <c r="M18" s="293">
        <f t="shared" si="5"/>
        <v>0</v>
      </c>
      <c r="N18" s="293">
        <f t="shared" si="5"/>
        <v>0</v>
      </c>
      <c r="O18" s="293">
        <f t="shared" si="5"/>
        <v>0</v>
      </c>
      <c r="P18" s="293">
        <f t="shared" si="5"/>
        <v>0</v>
      </c>
      <c r="Q18" s="293">
        <f t="shared" si="5"/>
        <v>0</v>
      </c>
      <c r="R18" s="297">
        <f t="shared" si="5"/>
        <v>0</v>
      </c>
    </row>
    <row r="19" spans="1:18" s="77" customFormat="1" ht="67.5" hidden="1" customHeight="1" x14ac:dyDescent="0.25">
      <c r="A19" s="90"/>
      <c r="B19" s="107" t="s">
        <v>440</v>
      </c>
      <c r="C19" s="95" t="s">
        <v>240</v>
      </c>
      <c r="D19" s="95" t="s">
        <v>43</v>
      </c>
      <c r="E19" s="291" t="s">
        <v>441</v>
      </c>
      <c r="F19" s="293">
        <f t="shared" si="2"/>
        <v>0</v>
      </c>
      <c r="G19" s="710"/>
      <c r="H19" s="292"/>
      <c r="I19" s="298"/>
      <c r="J19" s="292"/>
      <c r="K19" s="299">
        <f>N19+L19</f>
        <v>0</v>
      </c>
      <c r="L19" s="301"/>
      <c r="M19" s="301"/>
      <c r="N19" s="301"/>
      <c r="O19" s="301"/>
      <c r="P19" s="301"/>
      <c r="Q19" s="300"/>
      <c r="R19" s="297">
        <f t="shared" si="3"/>
        <v>0</v>
      </c>
    </row>
    <row r="20" spans="1:18" s="77" customFormat="1" ht="31.5" hidden="1" customHeight="1" x14ac:dyDescent="0.25">
      <c r="A20" s="90"/>
      <c r="B20" s="107"/>
      <c r="C20" s="95"/>
      <c r="D20" s="95"/>
      <c r="E20" s="291" t="s">
        <v>442</v>
      </c>
      <c r="F20" s="293">
        <f t="shared" si="2"/>
        <v>0</v>
      </c>
      <c r="G20" s="302"/>
      <c r="H20" s="292"/>
      <c r="I20" s="292"/>
      <c r="J20" s="292"/>
      <c r="K20" s="294"/>
      <c r="L20" s="300"/>
      <c r="M20" s="301"/>
      <c r="N20" s="301"/>
      <c r="O20" s="301"/>
      <c r="P20" s="301"/>
      <c r="Q20" s="301"/>
      <c r="R20" s="297">
        <f t="shared" si="3"/>
        <v>0</v>
      </c>
    </row>
    <row r="21" spans="1:18" s="77" customFormat="1" ht="46.8" hidden="1" x14ac:dyDescent="0.25">
      <c r="A21" s="90"/>
      <c r="B21" s="107" t="s">
        <v>679</v>
      </c>
      <c r="C21" s="95" t="s">
        <v>44</v>
      </c>
      <c r="D21" s="95" t="s">
        <v>43</v>
      </c>
      <c r="E21" s="291" t="s">
        <v>680</v>
      </c>
      <c r="F21" s="293">
        <f t="shared" si="2"/>
        <v>0</v>
      </c>
      <c r="G21" s="305"/>
      <c r="H21" s="292"/>
      <c r="I21" s="292"/>
      <c r="J21" s="292"/>
      <c r="K21" s="299">
        <f t="shared" ref="K21:K129" si="6">N21+L21</f>
        <v>0</v>
      </c>
      <c r="L21" s="300"/>
      <c r="M21" s="301"/>
      <c r="N21" s="301"/>
      <c r="O21" s="301"/>
      <c r="P21" s="301"/>
      <c r="Q21" s="300"/>
      <c r="R21" s="297">
        <f t="shared" si="3"/>
        <v>0</v>
      </c>
    </row>
    <row r="22" spans="1:18" s="77" customFormat="1" ht="15.6" hidden="1" x14ac:dyDescent="0.25">
      <c r="A22" s="90"/>
      <c r="B22" s="97"/>
      <c r="C22" s="98"/>
      <c r="D22" s="98"/>
      <c r="E22" s="306"/>
      <c r="F22" s="293">
        <f t="shared" si="2"/>
        <v>0</v>
      </c>
      <c r="G22" s="305"/>
      <c r="H22" s="305"/>
      <c r="I22" s="305"/>
      <c r="J22" s="292"/>
      <c r="K22" s="294"/>
      <c r="L22" s="300"/>
      <c r="M22" s="301"/>
      <c r="N22" s="301"/>
      <c r="O22" s="301"/>
      <c r="P22" s="301"/>
      <c r="Q22" s="301"/>
      <c r="R22" s="297">
        <f t="shared" si="3"/>
        <v>0</v>
      </c>
    </row>
    <row r="23" spans="1:18" s="77" customFormat="1" ht="15.6" hidden="1" x14ac:dyDescent="0.25">
      <c r="A23" s="90"/>
      <c r="B23" s="97"/>
      <c r="C23" s="98"/>
      <c r="D23" s="98"/>
      <c r="E23" s="306"/>
      <c r="F23" s="293">
        <f t="shared" si="2"/>
        <v>0</v>
      </c>
      <c r="G23" s="305"/>
      <c r="H23" s="305"/>
      <c r="I23" s="305"/>
      <c r="J23" s="292"/>
      <c r="K23" s="294"/>
      <c r="L23" s="300"/>
      <c r="M23" s="301"/>
      <c r="N23" s="301"/>
      <c r="O23" s="301"/>
      <c r="P23" s="301"/>
      <c r="Q23" s="301"/>
      <c r="R23" s="297">
        <f t="shared" si="3"/>
        <v>0</v>
      </c>
    </row>
    <row r="24" spans="1:18" s="77" customFormat="1" ht="15.6" hidden="1" x14ac:dyDescent="0.25">
      <c r="A24" s="90"/>
      <c r="B24" s="107" t="s">
        <v>443</v>
      </c>
      <c r="C24" s="95" t="s">
        <v>7</v>
      </c>
      <c r="D24" s="95" t="s">
        <v>236</v>
      </c>
      <c r="E24" s="291" t="s">
        <v>235</v>
      </c>
      <c r="F24" s="293">
        <f t="shared" si="2"/>
        <v>0</v>
      </c>
      <c r="G24" s="305"/>
      <c r="H24" s="305"/>
      <c r="I24" s="305"/>
      <c r="J24" s="292"/>
      <c r="K24" s="299">
        <f>N24+L24</f>
        <v>0</v>
      </c>
      <c r="L24" s="300"/>
      <c r="M24" s="301"/>
      <c r="N24" s="301"/>
      <c r="O24" s="301"/>
      <c r="P24" s="301"/>
      <c r="Q24" s="301"/>
      <c r="R24" s="297">
        <f t="shared" si="3"/>
        <v>0</v>
      </c>
    </row>
    <row r="25" spans="1:18" s="77" customFormat="1" ht="15.6" hidden="1" x14ac:dyDescent="0.25">
      <c r="A25" s="90"/>
      <c r="B25" s="91"/>
      <c r="C25" s="95"/>
      <c r="D25" s="95"/>
      <c r="E25" s="306" t="s">
        <v>444</v>
      </c>
      <c r="F25" s="293">
        <f t="shared" si="2"/>
        <v>0</v>
      </c>
      <c r="G25" s="305"/>
      <c r="H25" s="292"/>
      <c r="I25" s="292"/>
      <c r="J25" s="292"/>
      <c r="K25" s="294"/>
      <c r="L25" s="300"/>
      <c r="M25" s="301"/>
      <c r="N25" s="301"/>
      <c r="O25" s="301"/>
      <c r="P25" s="301"/>
      <c r="Q25" s="301"/>
      <c r="R25" s="297">
        <f t="shared" si="3"/>
        <v>0</v>
      </c>
    </row>
    <row r="26" spans="1:18" s="77" customFormat="1" ht="15.6" hidden="1" x14ac:dyDescent="0.25">
      <c r="A26" s="90"/>
      <c r="B26" s="91"/>
      <c r="C26" s="95"/>
      <c r="D26" s="95"/>
      <c r="E26" s="306" t="s">
        <v>445</v>
      </c>
      <c r="F26" s="293">
        <f t="shared" si="2"/>
        <v>0</v>
      </c>
      <c r="G26" s="305"/>
      <c r="H26" s="292"/>
      <c r="I26" s="292"/>
      <c r="J26" s="292"/>
      <c r="K26" s="294"/>
      <c r="L26" s="300"/>
      <c r="M26" s="301"/>
      <c r="N26" s="301"/>
      <c r="O26" s="301"/>
      <c r="P26" s="301"/>
      <c r="Q26" s="301"/>
      <c r="R26" s="297">
        <f t="shared" si="3"/>
        <v>0</v>
      </c>
    </row>
    <row r="27" spans="1:18" s="77" customFormat="1" ht="31.2" hidden="1" x14ac:dyDescent="0.25">
      <c r="A27" s="90"/>
      <c r="B27" s="91"/>
      <c r="C27" s="95"/>
      <c r="D27" s="95"/>
      <c r="E27" s="306" t="s">
        <v>446</v>
      </c>
      <c r="F27" s="293">
        <f t="shared" si="2"/>
        <v>0</v>
      </c>
      <c r="G27" s="305"/>
      <c r="H27" s="292"/>
      <c r="I27" s="292"/>
      <c r="J27" s="292"/>
      <c r="K27" s="294"/>
      <c r="L27" s="300"/>
      <c r="M27" s="301"/>
      <c r="N27" s="301"/>
      <c r="O27" s="301"/>
      <c r="P27" s="301"/>
      <c r="Q27" s="301"/>
      <c r="R27" s="297">
        <f t="shared" si="3"/>
        <v>0</v>
      </c>
    </row>
    <row r="28" spans="1:18" s="77" customFormat="1" ht="31.2" hidden="1" x14ac:dyDescent="0.25">
      <c r="A28" s="90"/>
      <c r="B28" s="91"/>
      <c r="C28" s="95"/>
      <c r="D28" s="95"/>
      <c r="E28" s="306" t="s">
        <v>105</v>
      </c>
      <c r="F28" s="293">
        <f t="shared" si="2"/>
        <v>0</v>
      </c>
      <c r="G28" s="305"/>
      <c r="H28" s="292"/>
      <c r="I28" s="292"/>
      <c r="J28" s="292"/>
      <c r="K28" s="294"/>
      <c r="L28" s="300"/>
      <c r="M28" s="301"/>
      <c r="N28" s="301"/>
      <c r="O28" s="301"/>
      <c r="P28" s="301"/>
      <c r="Q28" s="301"/>
      <c r="R28" s="297">
        <f t="shared" si="3"/>
        <v>0</v>
      </c>
    </row>
    <row r="29" spans="1:18" s="77" customFormat="1" ht="43.5" hidden="1" customHeight="1" x14ac:dyDescent="0.25">
      <c r="A29" s="71"/>
      <c r="B29" s="101" t="s">
        <v>447</v>
      </c>
      <c r="C29" s="719" t="s">
        <v>102</v>
      </c>
      <c r="D29" s="719" t="s">
        <v>101</v>
      </c>
      <c r="E29" s="307" t="s">
        <v>100</v>
      </c>
      <c r="F29" s="308">
        <f t="shared" si="2"/>
        <v>0</v>
      </c>
      <c r="G29" s="302"/>
      <c r="H29" s="292"/>
      <c r="I29" s="292"/>
      <c r="J29" s="292"/>
      <c r="K29" s="294">
        <f t="shared" si="6"/>
        <v>0</v>
      </c>
      <c r="L29" s="300"/>
      <c r="M29" s="301"/>
      <c r="N29" s="301"/>
      <c r="O29" s="301"/>
      <c r="P29" s="301"/>
      <c r="Q29" s="301"/>
      <c r="R29" s="297">
        <f t="shared" si="3"/>
        <v>0</v>
      </c>
    </row>
    <row r="30" spans="1:18" s="77" customFormat="1" ht="15.6" hidden="1" x14ac:dyDescent="0.25">
      <c r="A30" s="71"/>
      <c r="B30" s="101"/>
      <c r="C30" s="719"/>
      <c r="D30" s="719"/>
      <c r="E30" s="307" t="s">
        <v>99</v>
      </c>
      <c r="F30" s="308"/>
      <c r="G30" s="302"/>
      <c r="H30" s="292"/>
      <c r="I30" s="292"/>
      <c r="J30" s="292"/>
      <c r="K30" s="294"/>
      <c r="L30" s="300"/>
      <c r="M30" s="301"/>
      <c r="N30" s="301"/>
      <c r="O30" s="301"/>
      <c r="P30" s="301"/>
      <c r="Q30" s="301"/>
      <c r="R30" s="297">
        <f t="shared" si="3"/>
        <v>0</v>
      </c>
    </row>
    <row r="31" spans="1:18" s="77" customFormat="1" ht="67.5" hidden="1" customHeight="1" x14ac:dyDescent="0.25">
      <c r="A31" s="71"/>
      <c r="B31" s="101"/>
      <c r="C31" s="719"/>
      <c r="D31" s="719"/>
      <c r="E31" s="307" t="s">
        <v>98</v>
      </c>
      <c r="F31" s="308">
        <f t="shared" si="2"/>
        <v>0</v>
      </c>
      <c r="G31" s="302"/>
      <c r="H31" s="292"/>
      <c r="I31" s="292"/>
      <c r="J31" s="292"/>
      <c r="K31" s="294">
        <f t="shared" si="6"/>
        <v>0</v>
      </c>
      <c r="L31" s="300"/>
      <c r="M31" s="301"/>
      <c r="N31" s="301"/>
      <c r="O31" s="301"/>
      <c r="P31" s="301"/>
      <c r="Q31" s="301"/>
      <c r="R31" s="297">
        <f t="shared" si="3"/>
        <v>0</v>
      </c>
    </row>
    <row r="32" spans="1:18" s="77" customFormat="1" ht="15.6" hidden="1" x14ac:dyDescent="0.25">
      <c r="A32" s="71"/>
      <c r="B32" s="101"/>
      <c r="C32" s="719"/>
      <c r="D32" s="719"/>
      <c r="E32" s="307" t="s">
        <v>448</v>
      </c>
      <c r="F32" s="308">
        <f t="shared" si="2"/>
        <v>0</v>
      </c>
      <c r="G32" s="302"/>
      <c r="H32" s="292"/>
      <c r="I32" s="292"/>
      <c r="J32" s="292"/>
      <c r="K32" s="294"/>
      <c r="L32" s="300"/>
      <c r="M32" s="301"/>
      <c r="N32" s="301"/>
      <c r="O32" s="301"/>
      <c r="P32" s="301"/>
      <c r="Q32" s="301"/>
      <c r="R32" s="297">
        <f t="shared" si="3"/>
        <v>0</v>
      </c>
    </row>
    <row r="33" spans="1:18" s="77" customFormat="1" ht="67.5" hidden="1" customHeight="1" x14ac:dyDescent="0.25">
      <c r="A33" s="71"/>
      <c r="B33" s="101"/>
      <c r="C33" s="719"/>
      <c r="D33" s="719"/>
      <c r="E33" s="307"/>
      <c r="F33" s="308">
        <f t="shared" si="2"/>
        <v>0</v>
      </c>
      <c r="G33" s="302"/>
      <c r="H33" s="292"/>
      <c r="I33" s="292"/>
      <c r="J33" s="292"/>
      <c r="K33" s="294"/>
      <c r="L33" s="300"/>
      <c r="M33" s="301"/>
      <c r="N33" s="301"/>
      <c r="O33" s="301"/>
      <c r="P33" s="301"/>
      <c r="Q33" s="301"/>
      <c r="R33" s="297">
        <f t="shared" si="3"/>
        <v>0</v>
      </c>
    </row>
    <row r="34" spans="1:18" s="77" customFormat="1" ht="40.5" hidden="1" customHeight="1" x14ac:dyDescent="0.25">
      <c r="A34" s="71"/>
      <c r="B34" s="101" t="s">
        <v>234</v>
      </c>
      <c r="C34" s="719" t="s">
        <v>96</v>
      </c>
      <c r="D34" s="719" t="s">
        <v>95</v>
      </c>
      <c r="E34" s="307" t="s">
        <v>449</v>
      </c>
      <c r="F34" s="308">
        <f>G34+J34</f>
        <v>0</v>
      </c>
      <c r="G34" s="302"/>
      <c r="H34" s="292"/>
      <c r="I34" s="292"/>
      <c r="J34" s="292"/>
      <c r="K34" s="294"/>
      <c r="L34" s="300"/>
      <c r="M34" s="301"/>
      <c r="N34" s="301"/>
      <c r="O34" s="301"/>
      <c r="P34" s="301"/>
      <c r="Q34" s="301"/>
      <c r="R34" s="297">
        <f t="shared" si="3"/>
        <v>0</v>
      </c>
    </row>
    <row r="35" spans="1:18" s="77" customFormat="1" ht="62.4" hidden="1" x14ac:dyDescent="0.25">
      <c r="A35" s="71"/>
      <c r="B35" s="104" t="s">
        <v>233</v>
      </c>
      <c r="C35" s="719" t="s">
        <v>91</v>
      </c>
      <c r="D35" s="719" t="s">
        <v>90</v>
      </c>
      <c r="E35" s="307" t="s">
        <v>450</v>
      </c>
      <c r="F35" s="308">
        <f t="shared" ref="F35:F95" si="7">G35+J35</f>
        <v>0</v>
      </c>
      <c r="G35" s="302"/>
      <c r="H35" s="300"/>
      <c r="I35" s="292"/>
      <c r="J35" s="299"/>
      <c r="K35" s="299">
        <f t="shared" si="6"/>
        <v>0</v>
      </c>
      <c r="L35" s="309"/>
      <c r="M35" s="299"/>
      <c r="N35" s="301"/>
      <c r="O35" s="299"/>
      <c r="P35" s="299"/>
      <c r="Q35" s="299"/>
      <c r="R35" s="297">
        <f t="shared" si="3"/>
        <v>0</v>
      </c>
    </row>
    <row r="36" spans="1:18" s="77" customFormat="1" ht="31.2" hidden="1" x14ac:dyDescent="0.25">
      <c r="A36" s="71"/>
      <c r="B36" s="104" t="s">
        <v>451</v>
      </c>
      <c r="C36" s="719" t="s">
        <v>232</v>
      </c>
      <c r="D36" s="719" t="s">
        <v>85</v>
      </c>
      <c r="E36" s="307" t="s">
        <v>231</v>
      </c>
      <c r="F36" s="308">
        <f t="shared" si="7"/>
        <v>0</v>
      </c>
      <c r="G36" s="302"/>
      <c r="H36" s="292"/>
      <c r="I36" s="292"/>
      <c r="J36" s="292"/>
      <c r="K36" s="294">
        <f t="shared" si="6"/>
        <v>0</v>
      </c>
      <c r="L36" s="300"/>
      <c r="M36" s="301"/>
      <c r="N36" s="301"/>
      <c r="O36" s="301"/>
      <c r="P36" s="301"/>
      <c r="Q36" s="301"/>
      <c r="R36" s="297">
        <f t="shared" si="3"/>
        <v>0</v>
      </c>
    </row>
    <row r="37" spans="1:18" s="77" customFormat="1" ht="15.6" hidden="1" x14ac:dyDescent="0.25">
      <c r="A37" s="71"/>
      <c r="B37" s="104"/>
      <c r="C37" s="719"/>
      <c r="D37" s="719"/>
      <c r="E37" s="310"/>
      <c r="F37" s="308">
        <f t="shared" si="7"/>
        <v>0</v>
      </c>
      <c r="G37" s="311"/>
      <c r="H37" s="299"/>
      <c r="I37" s="299"/>
      <c r="J37" s="299"/>
      <c r="K37" s="294">
        <f t="shared" si="6"/>
        <v>0</v>
      </c>
      <c r="L37" s="309"/>
      <c r="M37" s="299"/>
      <c r="N37" s="299"/>
      <c r="O37" s="299"/>
      <c r="P37" s="299"/>
      <c r="Q37" s="299"/>
      <c r="R37" s="297">
        <f t="shared" si="3"/>
        <v>0</v>
      </c>
    </row>
    <row r="38" spans="1:18" s="77" customFormat="1" ht="31.2" hidden="1" x14ac:dyDescent="0.25">
      <c r="A38" s="71"/>
      <c r="B38" s="104" t="s">
        <v>452</v>
      </c>
      <c r="C38" s="719" t="s">
        <v>453</v>
      </c>
      <c r="D38" s="719" t="s">
        <v>85</v>
      </c>
      <c r="E38" s="307" t="s">
        <v>454</v>
      </c>
      <c r="F38" s="308">
        <f t="shared" si="7"/>
        <v>0</v>
      </c>
      <c r="G38" s="302"/>
      <c r="H38" s="292"/>
      <c r="I38" s="292"/>
      <c r="J38" s="292"/>
      <c r="K38" s="294">
        <f t="shared" si="6"/>
        <v>0</v>
      </c>
      <c r="L38" s="300"/>
      <c r="M38" s="301"/>
      <c r="N38" s="301"/>
      <c r="O38" s="301"/>
      <c r="P38" s="301"/>
      <c r="Q38" s="301"/>
      <c r="R38" s="297">
        <f t="shared" si="3"/>
        <v>0</v>
      </c>
    </row>
    <row r="39" spans="1:18" s="77" customFormat="1" ht="46.8" hidden="1" x14ac:dyDescent="0.25">
      <c r="A39" s="71"/>
      <c r="B39" s="104" t="s">
        <v>455</v>
      </c>
      <c r="C39" s="719" t="s">
        <v>230</v>
      </c>
      <c r="D39" s="719" t="s">
        <v>85</v>
      </c>
      <c r="E39" s="307" t="s">
        <v>1173</v>
      </c>
      <c r="F39" s="308">
        <f t="shared" si="7"/>
        <v>0</v>
      </c>
      <c r="G39" s="302"/>
      <c r="H39" s="292"/>
      <c r="I39" s="292"/>
      <c r="J39" s="292"/>
      <c r="K39" s="294"/>
      <c r="L39" s="300"/>
      <c r="M39" s="301"/>
      <c r="N39" s="301"/>
      <c r="O39" s="301"/>
      <c r="P39" s="301"/>
      <c r="Q39" s="301"/>
      <c r="R39" s="297">
        <f t="shared" si="3"/>
        <v>0</v>
      </c>
    </row>
    <row r="40" spans="1:18" s="77" customFormat="1" ht="62.4" hidden="1" x14ac:dyDescent="0.25">
      <c r="A40" s="71"/>
      <c r="B40" s="104" t="s">
        <v>228</v>
      </c>
      <c r="C40" s="719" t="s">
        <v>86</v>
      </c>
      <c r="D40" s="719" t="s">
        <v>85</v>
      </c>
      <c r="E40" s="307" t="s">
        <v>84</v>
      </c>
      <c r="F40" s="308">
        <f t="shared" si="7"/>
        <v>0</v>
      </c>
      <c r="G40" s="302"/>
      <c r="H40" s="292"/>
      <c r="I40" s="292"/>
      <c r="J40" s="292"/>
      <c r="K40" s="294">
        <f t="shared" si="6"/>
        <v>0</v>
      </c>
      <c r="L40" s="300"/>
      <c r="M40" s="301"/>
      <c r="N40" s="301"/>
      <c r="O40" s="301"/>
      <c r="P40" s="301"/>
      <c r="Q40" s="301"/>
      <c r="R40" s="297">
        <f t="shared" si="3"/>
        <v>0</v>
      </c>
    </row>
    <row r="41" spans="1:18" s="77" customFormat="1" ht="78" hidden="1" x14ac:dyDescent="0.25">
      <c r="A41" s="71"/>
      <c r="B41" s="104" t="s">
        <v>227</v>
      </c>
      <c r="C41" s="719">
        <v>3160</v>
      </c>
      <c r="D41" s="719" t="s">
        <v>78</v>
      </c>
      <c r="E41" s="307" t="s">
        <v>77</v>
      </c>
      <c r="F41" s="308">
        <f t="shared" si="7"/>
        <v>0</v>
      </c>
      <c r="G41" s="302"/>
      <c r="H41" s="292"/>
      <c r="I41" s="292"/>
      <c r="J41" s="292"/>
      <c r="K41" s="294">
        <f t="shared" si="6"/>
        <v>0</v>
      </c>
      <c r="L41" s="300"/>
      <c r="M41" s="301"/>
      <c r="N41" s="301"/>
      <c r="O41" s="301"/>
      <c r="P41" s="301"/>
      <c r="Q41" s="301"/>
      <c r="R41" s="297">
        <f t="shared" si="3"/>
        <v>0</v>
      </c>
    </row>
    <row r="42" spans="1:18" s="77" customFormat="1" ht="31.2" hidden="1" x14ac:dyDescent="0.25">
      <c r="A42" s="71"/>
      <c r="B42" s="104" t="s">
        <v>226</v>
      </c>
      <c r="C42" s="719" t="s">
        <v>75</v>
      </c>
      <c r="D42" s="719" t="s">
        <v>74</v>
      </c>
      <c r="E42" s="307" t="s">
        <v>73</v>
      </c>
      <c r="F42" s="308">
        <f t="shared" si="7"/>
        <v>0</v>
      </c>
      <c r="G42" s="305"/>
      <c r="H42" s="292"/>
      <c r="I42" s="292"/>
      <c r="J42" s="292"/>
      <c r="K42" s="294">
        <f t="shared" si="6"/>
        <v>0</v>
      </c>
      <c r="L42" s="300"/>
      <c r="M42" s="301"/>
      <c r="N42" s="301"/>
      <c r="O42" s="301"/>
      <c r="P42" s="301"/>
      <c r="Q42" s="301"/>
      <c r="R42" s="297">
        <f t="shared" si="3"/>
        <v>0</v>
      </c>
    </row>
    <row r="43" spans="1:18" s="77" customFormat="1" ht="46.8" hidden="1" x14ac:dyDescent="0.25">
      <c r="A43" s="90"/>
      <c r="B43" s="107" t="s">
        <v>456</v>
      </c>
      <c r="C43" s="95">
        <v>3192</v>
      </c>
      <c r="D43" s="95">
        <v>1030</v>
      </c>
      <c r="E43" s="291" t="s">
        <v>71</v>
      </c>
      <c r="F43" s="293">
        <f t="shared" si="7"/>
        <v>0</v>
      </c>
      <c r="G43" s="305"/>
      <c r="H43" s="292"/>
      <c r="I43" s="292"/>
      <c r="J43" s="292"/>
      <c r="K43" s="294"/>
      <c r="L43" s="300"/>
      <c r="M43" s="301"/>
      <c r="N43" s="301"/>
      <c r="O43" s="301"/>
      <c r="P43" s="301"/>
      <c r="Q43" s="301"/>
      <c r="R43" s="297">
        <f t="shared" si="3"/>
        <v>0</v>
      </c>
    </row>
    <row r="44" spans="1:18" s="77" customFormat="1" ht="15.6" hidden="1" x14ac:dyDescent="0.25">
      <c r="A44" s="90"/>
      <c r="B44" s="107" t="s">
        <v>457</v>
      </c>
      <c r="C44" s="95" t="s">
        <v>70</v>
      </c>
      <c r="D44" s="95" t="s">
        <v>69</v>
      </c>
      <c r="E44" s="291" t="s">
        <v>68</v>
      </c>
      <c r="F44" s="293">
        <f t="shared" si="7"/>
        <v>0</v>
      </c>
      <c r="G44" s="305"/>
      <c r="H44" s="292"/>
      <c r="I44" s="292"/>
      <c r="J44" s="292"/>
      <c r="K44" s="294">
        <f t="shared" si="6"/>
        <v>0</v>
      </c>
      <c r="L44" s="300"/>
      <c r="M44" s="301"/>
      <c r="N44" s="301"/>
      <c r="O44" s="301"/>
      <c r="P44" s="301"/>
      <c r="Q44" s="301"/>
      <c r="R44" s="297">
        <f t="shared" si="3"/>
        <v>0</v>
      </c>
    </row>
    <row r="45" spans="1:18" s="77" customFormat="1" ht="39.75" hidden="1" customHeight="1" x14ac:dyDescent="0.25">
      <c r="A45" s="90"/>
      <c r="B45" s="107"/>
      <c r="C45" s="95"/>
      <c r="D45" s="95"/>
      <c r="E45" s="291"/>
      <c r="F45" s="293">
        <f t="shared" si="7"/>
        <v>0</v>
      </c>
      <c r="G45" s="305"/>
      <c r="H45" s="292"/>
      <c r="I45" s="292"/>
      <c r="J45" s="292"/>
      <c r="K45" s="294">
        <f t="shared" si="6"/>
        <v>0</v>
      </c>
      <c r="L45" s="300"/>
      <c r="M45" s="301"/>
      <c r="N45" s="301"/>
      <c r="O45" s="301"/>
      <c r="P45" s="301"/>
      <c r="Q45" s="301"/>
      <c r="R45" s="297">
        <f t="shared" si="3"/>
        <v>0</v>
      </c>
    </row>
    <row r="46" spans="1:18" s="77" customFormat="1" ht="15.6" hidden="1" x14ac:dyDescent="0.25">
      <c r="A46" s="90"/>
      <c r="B46" s="107"/>
      <c r="C46" s="95"/>
      <c r="D46" s="95"/>
      <c r="E46" s="291"/>
      <c r="F46" s="293">
        <f t="shared" si="7"/>
        <v>0</v>
      </c>
      <c r="G46" s="305"/>
      <c r="H46" s="292"/>
      <c r="I46" s="292"/>
      <c r="J46" s="292"/>
      <c r="K46" s="294">
        <f t="shared" si="6"/>
        <v>0</v>
      </c>
      <c r="L46" s="300"/>
      <c r="M46" s="301"/>
      <c r="N46" s="301"/>
      <c r="O46" s="301"/>
      <c r="P46" s="301"/>
      <c r="Q46" s="301"/>
      <c r="R46" s="297">
        <f t="shared" si="3"/>
        <v>0</v>
      </c>
    </row>
    <row r="47" spans="1:18" s="77" customFormat="1" ht="15.6" hidden="1" x14ac:dyDescent="0.25">
      <c r="A47" s="90"/>
      <c r="B47" s="91"/>
      <c r="C47" s="92"/>
      <c r="D47" s="92"/>
      <c r="E47" s="312"/>
      <c r="F47" s="293">
        <f t="shared" si="7"/>
        <v>0</v>
      </c>
      <c r="G47" s="313"/>
      <c r="H47" s="292"/>
      <c r="I47" s="292"/>
      <c r="J47" s="292"/>
      <c r="K47" s="294">
        <f t="shared" si="6"/>
        <v>0</v>
      </c>
      <c r="L47" s="300"/>
      <c r="M47" s="301"/>
      <c r="N47" s="301"/>
      <c r="O47" s="301"/>
      <c r="P47" s="301"/>
      <c r="Q47" s="301"/>
      <c r="R47" s="297">
        <f t="shared" si="3"/>
        <v>0</v>
      </c>
    </row>
    <row r="48" spans="1:18" s="77" customFormat="1" ht="31.2" hidden="1" x14ac:dyDescent="0.25">
      <c r="A48" s="90"/>
      <c r="B48" s="107" t="s">
        <v>461</v>
      </c>
      <c r="C48" s="95" t="s">
        <v>224</v>
      </c>
      <c r="D48" s="95" t="s">
        <v>218</v>
      </c>
      <c r="E48" s="291" t="s">
        <v>223</v>
      </c>
      <c r="F48" s="293">
        <f t="shared" si="7"/>
        <v>0</v>
      </c>
      <c r="G48" s="305"/>
      <c r="H48" s="292"/>
      <c r="I48" s="292"/>
      <c r="J48" s="292"/>
      <c r="K48" s="294">
        <f t="shared" si="6"/>
        <v>0</v>
      </c>
      <c r="L48" s="300"/>
      <c r="M48" s="301"/>
      <c r="N48" s="301"/>
      <c r="O48" s="301"/>
      <c r="P48" s="301"/>
      <c r="Q48" s="301"/>
      <c r="R48" s="297">
        <f t="shared" si="3"/>
        <v>0</v>
      </c>
    </row>
    <row r="49" spans="1:18" s="77" customFormat="1" ht="15.6" hidden="1" x14ac:dyDescent="0.25">
      <c r="A49" s="90"/>
      <c r="B49" s="91"/>
      <c r="C49" s="92"/>
      <c r="D49" s="92"/>
      <c r="E49" s="312"/>
      <c r="F49" s="293"/>
      <c r="G49" s="313"/>
      <c r="H49" s="293"/>
      <c r="I49" s="293"/>
      <c r="J49" s="293"/>
      <c r="K49" s="294">
        <f t="shared" si="6"/>
        <v>0</v>
      </c>
      <c r="L49" s="309"/>
      <c r="M49" s="299"/>
      <c r="N49" s="299"/>
      <c r="O49" s="299"/>
      <c r="P49" s="299"/>
      <c r="Q49" s="299"/>
      <c r="R49" s="297">
        <f t="shared" si="3"/>
        <v>0</v>
      </c>
    </row>
    <row r="50" spans="1:18" s="77" customFormat="1" ht="39.75" hidden="1" customHeight="1" x14ac:dyDescent="0.25">
      <c r="A50" s="90"/>
      <c r="B50" s="107"/>
      <c r="C50" s="95"/>
      <c r="D50" s="95"/>
      <c r="E50" s="291" t="s">
        <v>442</v>
      </c>
      <c r="F50" s="293"/>
      <c r="G50" s="305"/>
      <c r="H50" s="292"/>
      <c r="I50" s="292"/>
      <c r="J50" s="292"/>
      <c r="K50" s="294">
        <f t="shared" si="6"/>
        <v>0</v>
      </c>
      <c r="L50" s="300"/>
      <c r="M50" s="301"/>
      <c r="N50" s="301"/>
      <c r="O50" s="301"/>
      <c r="P50" s="301"/>
      <c r="Q50" s="301"/>
      <c r="R50" s="297">
        <f t="shared" si="3"/>
        <v>0</v>
      </c>
    </row>
    <row r="51" spans="1:18" s="77" customFormat="1" ht="46.8" hidden="1" x14ac:dyDescent="0.25">
      <c r="A51" s="90"/>
      <c r="B51" s="107" t="s">
        <v>462</v>
      </c>
      <c r="C51" s="95" t="s">
        <v>219</v>
      </c>
      <c r="D51" s="95" t="s">
        <v>218</v>
      </c>
      <c r="E51" s="1170" t="s">
        <v>1174</v>
      </c>
      <c r="F51" s="293">
        <f t="shared" si="7"/>
        <v>0</v>
      </c>
      <c r="G51" s="305"/>
      <c r="H51" s="292"/>
      <c r="I51" s="292"/>
      <c r="J51" s="292"/>
      <c r="K51" s="294">
        <f t="shared" si="6"/>
        <v>0</v>
      </c>
      <c r="L51" s="300"/>
      <c r="M51" s="301"/>
      <c r="N51" s="301"/>
      <c r="O51" s="301"/>
      <c r="P51" s="301"/>
      <c r="Q51" s="301"/>
      <c r="R51" s="297">
        <f t="shared" si="3"/>
        <v>0</v>
      </c>
    </row>
    <row r="52" spans="1:18" s="77" customFormat="1" ht="30" hidden="1" customHeight="1" x14ac:dyDescent="0.25">
      <c r="A52" s="90"/>
      <c r="B52" s="107"/>
      <c r="C52" s="95"/>
      <c r="D52" s="95"/>
      <c r="E52" s="291" t="s">
        <v>201</v>
      </c>
      <c r="F52" s="293">
        <f t="shared" si="7"/>
        <v>0</v>
      </c>
      <c r="G52" s="305"/>
      <c r="H52" s="292"/>
      <c r="I52" s="292"/>
      <c r="J52" s="292"/>
      <c r="K52" s="294">
        <f t="shared" si="6"/>
        <v>0</v>
      </c>
      <c r="L52" s="300"/>
      <c r="M52" s="301"/>
      <c r="N52" s="301"/>
      <c r="O52" s="301"/>
      <c r="P52" s="301"/>
      <c r="Q52" s="301"/>
      <c r="R52" s="297">
        <f t="shared" si="3"/>
        <v>0</v>
      </c>
    </row>
    <row r="53" spans="1:18" s="77" customFormat="1" ht="53.25" hidden="1" customHeight="1" x14ac:dyDescent="0.25">
      <c r="A53" s="90"/>
      <c r="B53" s="107" t="s">
        <v>681</v>
      </c>
      <c r="C53" s="95" t="s">
        <v>682</v>
      </c>
      <c r="D53" s="95" t="s">
        <v>218</v>
      </c>
      <c r="E53" s="291" t="s">
        <v>683</v>
      </c>
      <c r="F53" s="293">
        <f t="shared" si="7"/>
        <v>0</v>
      </c>
      <c r="G53" s="305"/>
      <c r="H53" s="292"/>
      <c r="I53" s="292"/>
      <c r="J53" s="292"/>
      <c r="K53" s="294">
        <f t="shared" si="6"/>
        <v>0</v>
      </c>
      <c r="L53" s="300"/>
      <c r="M53" s="301"/>
      <c r="N53" s="301"/>
      <c r="O53" s="301"/>
      <c r="P53" s="301"/>
      <c r="Q53" s="301"/>
      <c r="R53" s="297">
        <f t="shared" si="3"/>
        <v>0</v>
      </c>
    </row>
    <row r="54" spans="1:18" s="77" customFormat="1" ht="53.25" hidden="1" customHeight="1" x14ac:dyDescent="0.25">
      <c r="A54" s="90"/>
      <c r="B54" s="107"/>
      <c r="C54" s="95"/>
      <c r="D54" s="95"/>
      <c r="E54" s="291" t="s">
        <v>201</v>
      </c>
      <c r="F54" s="293">
        <f t="shared" si="7"/>
        <v>0</v>
      </c>
      <c r="G54" s="305"/>
      <c r="H54" s="292"/>
      <c r="I54" s="292"/>
      <c r="J54" s="292"/>
      <c r="K54" s="294"/>
      <c r="L54" s="300"/>
      <c r="M54" s="301"/>
      <c r="N54" s="301"/>
      <c r="O54" s="301"/>
      <c r="P54" s="301"/>
      <c r="Q54" s="301"/>
      <c r="R54" s="297"/>
    </row>
    <row r="55" spans="1:18" s="77" customFormat="1" ht="31.2" hidden="1" x14ac:dyDescent="0.25">
      <c r="A55" s="90"/>
      <c r="B55" s="107" t="s">
        <v>684</v>
      </c>
      <c r="C55" s="95" t="s">
        <v>685</v>
      </c>
      <c r="D55" s="95" t="s">
        <v>57</v>
      </c>
      <c r="E55" s="291" t="s">
        <v>686</v>
      </c>
      <c r="F55" s="293">
        <f t="shared" si="7"/>
        <v>0</v>
      </c>
      <c r="G55" s="302"/>
      <c r="H55" s="292"/>
      <c r="I55" s="292"/>
      <c r="J55" s="293"/>
      <c r="K55" s="294">
        <f t="shared" si="6"/>
        <v>0</v>
      </c>
      <c r="L55" s="309"/>
      <c r="M55" s="299"/>
      <c r="N55" s="299"/>
      <c r="O55" s="299"/>
      <c r="P55" s="299"/>
      <c r="Q55" s="301"/>
      <c r="R55" s="297">
        <f t="shared" si="3"/>
        <v>0</v>
      </c>
    </row>
    <row r="56" spans="1:18" s="77" customFormat="1" ht="31.2" hidden="1" x14ac:dyDescent="0.25">
      <c r="A56" s="90"/>
      <c r="B56" s="107" t="s">
        <v>463</v>
      </c>
      <c r="C56" s="95" t="s">
        <v>217</v>
      </c>
      <c r="D56" s="95" t="s">
        <v>209</v>
      </c>
      <c r="E56" s="291" t="s">
        <v>216</v>
      </c>
      <c r="F56" s="293">
        <f t="shared" si="7"/>
        <v>0</v>
      </c>
      <c r="G56" s="302"/>
      <c r="H56" s="292"/>
      <c r="I56" s="292"/>
      <c r="J56" s="292"/>
      <c r="K56" s="299">
        <f t="shared" si="6"/>
        <v>0</v>
      </c>
      <c r="L56" s="300"/>
      <c r="M56" s="301"/>
      <c r="N56" s="301"/>
      <c r="O56" s="301"/>
      <c r="P56" s="301"/>
      <c r="Q56" s="300"/>
      <c r="R56" s="297">
        <f t="shared" si="3"/>
        <v>0</v>
      </c>
    </row>
    <row r="57" spans="1:18" s="77" customFormat="1" ht="15.6" hidden="1" x14ac:dyDescent="0.25">
      <c r="A57" s="90"/>
      <c r="B57" s="107" t="s">
        <v>464</v>
      </c>
      <c r="C57" s="95" t="s">
        <v>214</v>
      </c>
      <c r="D57" s="95" t="s">
        <v>209</v>
      </c>
      <c r="E57" s="291" t="s">
        <v>213</v>
      </c>
      <c r="F57" s="293">
        <f t="shared" si="7"/>
        <v>0</v>
      </c>
      <c r="G57" s="302"/>
      <c r="H57" s="292"/>
      <c r="I57" s="292"/>
      <c r="J57" s="292"/>
      <c r="K57" s="294">
        <f t="shared" si="6"/>
        <v>0</v>
      </c>
      <c r="L57" s="300"/>
      <c r="M57" s="301"/>
      <c r="N57" s="301"/>
      <c r="O57" s="301"/>
      <c r="P57" s="301"/>
      <c r="Q57" s="301"/>
      <c r="R57" s="297">
        <f t="shared" si="3"/>
        <v>0</v>
      </c>
    </row>
    <row r="58" spans="1:18" s="77" customFormat="1" ht="49.5" hidden="1" customHeight="1" x14ac:dyDescent="0.25">
      <c r="A58" s="90"/>
      <c r="B58" s="107" t="s">
        <v>687</v>
      </c>
      <c r="C58" s="95" t="s">
        <v>465</v>
      </c>
      <c r="D58" s="95" t="s">
        <v>209</v>
      </c>
      <c r="E58" s="291" t="s">
        <v>212</v>
      </c>
      <c r="F58" s="293">
        <f t="shared" si="7"/>
        <v>0</v>
      </c>
      <c r="G58" s="302"/>
      <c r="H58" s="292"/>
      <c r="I58" s="292"/>
      <c r="J58" s="292"/>
      <c r="K58" s="299">
        <f t="shared" si="6"/>
        <v>0</v>
      </c>
      <c r="L58" s="300"/>
      <c r="M58" s="301"/>
      <c r="N58" s="301"/>
      <c r="O58" s="301"/>
      <c r="P58" s="301"/>
      <c r="Q58" s="300"/>
      <c r="R58" s="297">
        <f t="shared" si="3"/>
        <v>0</v>
      </c>
    </row>
    <row r="59" spans="1:18" s="77" customFormat="1" ht="20.25" customHeight="1" x14ac:dyDescent="0.25">
      <c r="A59" s="90"/>
      <c r="B59" s="107" t="s">
        <v>466</v>
      </c>
      <c r="C59" s="95" t="s">
        <v>210</v>
      </c>
      <c r="D59" s="95" t="s">
        <v>209</v>
      </c>
      <c r="E59" s="291" t="s">
        <v>208</v>
      </c>
      <c r="F59" s="293">
        <f t="shared" si="7"/>
        <v>-188244</v>
      </c>
      <c r="G59" s="302">
        <v>-188244</v>
      </c>
      <c r="H59" s="292"/>
      <c r="I59" s="302">
        <v>-188244</v>
      </c>
      <c r="J59" s="292"/>
      <c r="K59" s="299">
        <f t="shared" si="6"/>
        <v>0</v>
      </c>
      <c r="L59" s="301"/>
      <c r="M59" s="300"/>
      <c r="N59" s="301"/>
      <c r="O59" s="301"/>
      <c r="P59" s="301"/>
      <c r="Q59" s="301"/>
      <c r="R59" s="297">
        <f t="shared" si="3"/>
        <v>-188244</v>
      </c>
    </row>
    <row r="60" spans="1:18" s="77" customFormat="1" ht="0.75" customHeight="1" thickBot="1" x14ac:dyDescent="0.3">
      <c r="A60" s="90"/>
      <c r="B60" s="107" t="s">
        <v>467</v>
      </c>
      <c r="C60" s="95" t="s">
        <v>468</v>
      </c>
      <c r="D60" s="95" t="s">
        <v>206</v>
      </c>
      <c r="E60" s="291" t="s">
        <v>469</v>
      </c>
      <c r="F60" s="293"/>
      <c r="G60" s="311"/>
      <c r="H60" s="292"/>
      <c r="I60" s="292"/>
      <c r="J60" s="292"/>
      <c r="K60" s="294">
        <f t="shared" si="6"/>
        <v>0</v>
      </c>
      <c r="L60" s="300"/>
      <c r="M60" s="301"/>
      <c r="N60" s="301"/>
      <c r="O60" s="301"/>
      <c r="P60" s="301"/>
      <c r="Q60" s="300"/>
      <c r="R60" s="297">
        <f t="shared" si="3"/>
        <v>0</v>
      </c>
    </row>
    <row r="61" spans="1:18" s="77" customFormat="1" ht="31.2" hidden="1" x14ac:dyDescent="0.25">
      <c r="A61" s="90"/>
      <c r="B61" s="107" t="s">
        <v>470</v>
      </c>
      <c r="C61" s="95" t="s">
        <v>207</v>
      </c>
      <c r="D61" s="95" t="s">
        <v>206</v>
      </c>
      <c r="E61" s="291" t="s">
        <v>205</v>
      </c>
      <c r="F61" s="293">
        <f>G61+J61</f>
        <v>0</v>
      </c>
      <c r="G61" s="302"/>
      <c r="H61" s="292"/>
      <c r="I61" s="292"/>
      <c r="J61" s="292"/>
      <c r="K61" s="329">
        <f>N61+L61</f>
        <v>0</v>
      </c>
      <c r="L61" s="292"/>
      <c r="M61" s="301"/>
      <c r="N61" s="301"/>
      <c r="O61" s="301"/>
      <c r="P61" s="301"/>
      <c r="Q61" s="292"/>
      <c r="R61" s="297">
        <f t="shared" si="3"/>
        <v>0</v>
      </c>
    </row>
    <row r="62" spans="1:18" s="77" customFormat="1" ht="93.6" hidden="1" x14ac:dyDescent="0.25">
      <c r="A62" s="90"/>
      <c r="B62" s="107" t="s">
        <v>471</v>
      </c>
      <c r="C62" s="95" t="s">
        <v>58</v>
      </c>
      <c r="D62" s="95" t="s">
        <v>57</v>
      </c>
      <c r="E62" s="291" t="s">
        <v>56</v>
      </c>
      <c r="F62" s="293">
        <f t="shared" si="7"/>
        <v>0</v>
      </c>
      <c r="G62" s="302"/>
      <c r="H62" s="292"/>
      <c r="I62" s="292"/>
      <c r="J62" s="292"/>
      <c r="K62" s="299">
        <f t="shared" si="6"/>
        <v>0</v>
      </c>
      <c r="L62" s="300"/>
      <c r="M62" s="301"/>
      <c r="N62" s="301"/>
      <c r="O62" s="301"/>
      <c r="P62" s="301"/>
      <c r="Q62" s="300"/>
      <c r="R62" s="297">
        <f t="shared" si="3"/>
        <v>0</v>
      </c>
    </row>
    <row r="63" spans="1:18" s="77" customFormat="1" ht="31.2" hidden="1" x14ac:dyDescent="0.25">
      <c r="A63" s="90"/>
      <c r="B63" s="107" t="s">
        <v>688</v>
      </c>
      <c r="C63" s="95" t="s">
        <v>689</v>
      </c>
      <c r="D63" s="95" t="s">
        <v>57</v>
      </c>
      <c r="E63" s="291" t="s">
        <v>690</v>
      </c>
      <c r="F63" s="293"/>
      <c r="G63" s="302"/>
      <c r="H63" s="292"/>
      <c r="I63" s="292"/>
      <c r="J63" s="292"/>
      <c r="K63" s="299">
        <f t="shared" si="6"/>
        <v>0</v>
      </c>
      <c r="L63" s="300"/>
      <c r="M63" s="301"/>
      <c r="N63" s="301"/>
      <c r="O63" s="301"/>
      <c r="P63" s="301"/>
      <c r="Q63" s="300"/>
      <c r="R63" s="297">
        <f t="shared" si="3"/>
        <v>0</v>
      </c>
    </row>
    <row r="64" spans="1:18" s="77" customFormat="1" ht="15.6" hidden="1" x14ac:dyDescent="0.25">
      <c r="A64" s="90"/>
      <c r="B64" s="107" t="s">
        <v>472</v>
      </c>
      <c r="C64" s="95" t="s">
        <v>204</v>
      </c>
      <c r="D64" s="95" t="s">
        <v>203</v>
      </c>
      <c r="E64" s="291" t="s">
        <v>202</v>
      </c>
      <c r="F64" s="293">
        <f t="shared" si="7"/>
        <v>0</v>
      </c>
      <c r="G64" s="302"/>
      <c r="H64" s="292"/>
      <c r="I64" s="292"/>
      <c r="J64" s="292"/>
      <c r="K64" s="299"/>
      <c r="L64" s="300"/>
      <c r="M64" s="301"/>
      <c r="N64" s="301"/>
      <c r="O64" s="301"/>
      <c r="P64" s="301"/>
      <c r="Q64" s="300"/>
      <c r="R64" s="297">
        <f t="shared" si="3"/>
        <v>0</v>
      </c>
    </row>
    <row r="65" spans="1:18" s="77" customFormat="1" ht="31.2" hidden="1" x14ac:dyDescent="0.25">
      <c r="A65" s="90"/>
      <c r="B65" s="107" t="s">
        <v>571</v>
      </c>
      <c r="C65" s="95" t="s">
        <v>200</v>
      </c>
      <c r="D65" s="95" t="s">
        <v>21</v>
      </c>
      <c r="E65" s="291" t="s">
        <v>578</v>
      </c>
      <c r="F65" s="293"/>
      <c r="G65" s="302"/>
      <c r="H65" s="292"/>
      <c r="I65" s="292"/>
      <c r="J65" s="292"/>
      <c r="K65" s="299">
        <f>N65+L65</f>
        <v>0</v>
      </c>
      <c r="L65" s="300"/>
      <c r="M65" s="301"/>
      <c r="N65" s="301"/>
      <c r="O65" s="301"/>
      <c r="P65" s="301"/>
      <c r="Q65" s="300"/>
      <c r="R65" s="297">
        <f t="shared" si="3"/>
        <v>0</v>
      </c>
    </row>
    <row r="66" spans="1:18" s="77" customFormat="1" ht="15.6" hidden="1" x14ac:dyDescent="0.25">
      <c r="A66" s="90"/>
      <c r="B66" s="107" t="s">
        <v>691</v>
      </c>
      <c r="C66" s="95" t="s">
        <v>473</v>
      </c>
      <c r="D66" s="95" t="s">
        <v>21</v>
      </c>
      <c r="E66" s="291" t="s">
        <v>197</v>
      </c>
      <c r="F66" s="293">
        <f t="shared" si="7"/>
        <v>0</v>
      </c>
      <c r="G66" s="302"/>
      <c r="H66" s="292"/>
      <c r="I66" s="292"/>
      <c r="J66" s="292"/>
      <c r="K66" s="299">
        <f>N66+L66</f>
        <v>0</v>
      </c>
      <c r="L66" s="300"/>
      <c r="M66" s="301"/>
      <c r="N66" s="301"/>
      <c r="O66" s="301"/>
      <c r="P66" s="301"/>
      <c r="Q66" s="300"/>
      <c r="R66" s="297">
        <f t="shared" si="3"/>
        <v>0</v>
      </c>
    </row>
    <row r="67" spans="1:18" s="77" customFormat="1" ht="31.2" hidden="1" x14ac:dyDescent="0.25">
      <c r="A67" s="90"/>
      <c r="B67" s="107" t="s">
        <v>692</v>
      </c>
      <c r="C67" s="95" t="s">
        <v>196</v>
      </c>
      <c r="D67" s="95" t="s">
        <v>21</v>
      </c>
      <c r="E67" s="291" t="s">
        <v>195</v>
      </c>
      <c r="F67" s="293">
        <f>G67+J67</f>
        <v>0</v>
      </c>
      <c r="G67" s="302"/>
      <c r="H67" s="292"/>
      <c r="I67" s="292"/>
      <c r="J67" s="292"/>
      <c r="K67" s="299">
        <f>N67+L67</f>
        <v>0</v>
      </c>
      <c r="L67" s="300"/>
      <c r="M67" s="301"/>
      <c r="N67" s="301"/>
      <c r="O67" s="301"/>
      <c r="P67" s="301"/>
      <c r="Q67" s="300"/>
      <c r="R67" s="297">
        <f t="shared" si="3"/>
        <v>0</v>
      </c>
    </row>
    <row r="68" spans="1:18" s="77" customFormat="1" ht="48" hidden="1" customHeight="1" x14ac:dyDescent="0.25">
      <c r="A68" s="90"/>
      <c r="B68" s="107" t="s">
        <v>569</v>
      </c>
      <c r="C68" s="95" t="s">
        <v>194</v>
      </c>
      <c r="D68" s="95" t="s">
        <v>53</v>
      </c>
      <c r="E68" s="291" t="s">
        <v>52</v>
      </c>
      <c r="F68" s="293">
        <f>G68+J68</f>
        <v>0</v>
      </c>
      <c r="G68" s="302"/>
      <c r="H68" s="292"/>
      <c r="I68" s="292"/>
      <c r="J68" s="292"/>
      <c r="K68" s="299">
        <f>N68+L68</f>
        <v>0</v>
      </c>
      <c r="L68" s="300"/>
      <c r="M68" s="301"/>
      <c r="N68" s="301"/>
      <c r="O68" s="301"/>
      <c r="P68" s="301"/>
      <c r="Q68" s="300"/>
      <c r="R68" s="297">
        <f t="shared" si="3"/>
        <v>0</v>
      </c>
    </row>
    <row r="69" spans="1:18" s="77" customFormat="1" ht="31.2" hidden="1" x14ac:dyDescent="0.25">
      <c r="A69" s="90"/>
      <c r="B69" s="107" t="s">
        <v>693</v>
      </c>
      <c r="C69" s="95" t="s">
        <v>694</v>
      </c>
      <c r="D69" s="95" t="s">
        <v>53</v>
      </c>
      <c r="E69" s="291" t="s">
        <v>695</v>
      </c>
      <c r="F69" s="293"/>
      <c r="G69" s="302"/>
      <c r="H69" s="292"/>
      <c r="I69" s="292"/>
      <c r="J69" s="292"/>
      <c r="K69" s="299">
        <f>N69+L69</f>
        <v>0</v>
      </c>
      <c r="L69" s="300"/>
      <c r="M69" s="304"/>
      <c r="N69" s="304"/>
      <c r="O69" s="304"/>
      <c r="P69" s="304"/>
      <c r="Q69" s="300"/>
      <c r="R69" s="297">
        <f t="shared" si="3"/>
        <v>0</v>
      </c>
    </row>
    <row r="70" spans="1:18" s="77" customFormat="1" ht="46.8" hidden="1" x14ac:dyDescent="0.25">
      <c r="A70" s="90"/>
      <c r="B70" s="107" t="s">
        <v>474</v>
      </c>
      <c r="C70" s="95" t="s">
        <v>193</v>
      </c>
      <c r="D70" s="95" t="s">
        <v>192</v>
      </c>
      <c r="E70" s="291" t="s">
        <v>191</v>
      </c>
      <c r="F70" s="293">
        <f t="shared" si="7"/>
        <v>0</v>
      </c>
      <c r="G70" s="755"/>
      <c r="H70" s="292"/>
      <c r="I70" s="292"/>
      <c r="J70" s="292"/>
      <c r="K70" s="299">
        <f t="shared" si="6"/>
        <v>0</v>
      </c>
      <c r="L70" s="300"/>
      <c r="M70" s="301"/>
      <c r="N70" s="301"/>
      <c r="O70" s="301"/>
      <c r="P70" s="301"/>
      <c r="Q70" s="300"/>
      <c r="R70" s="297">
        <f t="shared" si="3"/>
        <v>0</v>
      </c>
    </row>
    <row r="71" spans="1:18" s="77" customFormat="1" ht="46.8" hidden="1" x14ac:dyDescent="0.25">
      <c r="A71" s="90"/>
      <c r="B71" s="107" t="s">
        <v>696</v>
      </c>
      <c r="C71" s="95" t="s">
        <v>189</v>
      </c>
      <c r="D71" s="95" t="s">
        <v>188</v>
      </c>
      <c r="E71" s="291" t="s">
        <v>187</v>
      </c>
      <c r="F71" s="293">
        <f t="shared" si="7"/>
        <v>0</v>
      </c>
      <c r="G71" s="302"/>
      <c r="H71" s="292"/>
      <c r="I71" s="292"/>
      <c r="J71" s="292"/>
      <c r="K71" s="294"/>
      <c r="L71" s="303"/>
      <c r="M71" s="304"/>
      <c r="N71" s="304"/>
      <c r="O71" s="304"/>
      <c r="P71" s="304"/>
      <c r="Q71" s="303"/>
      <c r="R71" s="297">
        <f t="shared" si="3"/>
        <v>0</v>
      </c>
    </row>
    <row r="72" spans="1:18" s="77" customFormat="1" ht="31.2" hidden="1" x14ac:dyDescent="0.25">
      <c r="A72" s="90"/>
      <c r="B72" s="107"/>
      <c r="C72" s="95"/>
      <c r="D72" s="95"/>
      <c r="E72" s="291" t="s">
        <v>49</v>
      </c>
      <c r="F72" s="293">
        <f>G72+J72</f>
        <v>0</v>
      </c>
      <c r="G72" s="302"/>
      <c r="H72" s="292"/>
      <c r="I72" s="292"/>
      <c r="J72" s="292"/>
      <c r="K72" s="294"/>
      <c r="L72" s="303"/>
      <c r="M72" s="304"/>
      <c r="N72" s="304"/>
      <c r="O72" s="304"/>
      <c r="P72" s="304"/>
      <c r="Q72" s="303"/>
      <c r="R72" s="297">
        <f t="shared" si="3"/>
        <v>0</v>
      </c>
    </row>
    <row r="73" spans="1:18" s="77" customFormat="1" ht="31.2" hidden="1" x14ac:dyDescent="0.25">
      <c r="A73" s="90"/>
      <c r="B73" s="107" t="s">
        <v>475</v>
      </c>
      <c r="C73" s="95" t="s">
        <v>186</v>
      </c>
      <c r="D73" s="95" t="s">
        <v>185</v>
      </c>
      <c r="E73" s="291" t="s">
        <v>184</v>
      </c>
      <c r="F73" s="293">
        <f t="shared" si="7"/>
        <v>0</v>
      </c>
      <c r="G73" s="302"/>
      <c r="H73" s="292"/>
      <c r="I73" s="292"/>
      <c r="J73" s="301"/>
      <c r="K73" s="294">
        <f t="shared" si="6"/>
        <v>0</v>
      </c>
      <c r="L73" s="303"/>
      <c r="M73" s="304"/>
      <c r="N73" s="304"/>
      <c r="O73" s="304"/>
      <c r="P73" s="304"/>
      <c r="Q73" s="303"/>
      <c r="R73" s="297">
        <f t="shared" si="3"/>
        <v>0</v>
      </c>
    </row>
    <row r="74" spans="1:18" s="77" customFormat="1" ht="31.2" hidden="1" x14ac:dyDescent="0.25">
      <c r="A74" s="90"/>
      <c r="B74" s="107" t="s">
        <v>476</v>
      </c>
      <c r="C74" s="95" t="s">
        <v>183</v>
      </c>
      <c r="D74" s="95" t="s">
        <v>53</v>
      </c>
      <c r="E74" s="291" t="s">
        <v>182</v>
      </c>
      <c r="F74" s="293">
        <f t="shared" si="7"/>
        <v>0</v>
      </c>
      <c r="G74" s="302"/>
      <c r="H74" s="292"/>
      <c r="I74" s="292"/>
      <c r="J74" s="301"/>
      <c r="K74" s="299">
        <f>N74+Q74</f>
        <v>0</v>
      </c>
      <c r="L74" s="300"/>
      <c r="M74" s="304"/>
      <c r="N74" s="304"/>
      <c r="O74" s="304"/>
      <c r="P74" s="304"/>
      <c r="Q74" s="300"/>
      <c r="R74" s="297">
        <f t="shared" si="3"/>
        <v>0</v>
      </c>
    </row>
    <row r="75" spans="1:18" s="77" customFormat="1" ht="65.25" hidden="1" customHeight="1" x14ac:dyDescent="0.25">
      <c r="A75" s="90"/>
      <c r="B75" s="107" t="s">
        <v>477</v>
      </c>
      <c r="C75" s="95" t="s">
        <v>181</v>
      </c>
      <c r="D75" s="95" t="s">
        <v>53</v>
      </c>
      <c r="E75" s="291" t="s">
        <v>180</v>
      </c>
      <c r="F75" s="293">
        <f t="shared" si="7"/>
        <v>0</v>
      </c>
      <c r="G75" s="302"/>
      <c r="H75" s="292"/>
      <c r="I75" s="292"/>
      <c r="J75" s="301"/>
      <c r="K75" s="299">
        <f>N75+Q75</f>
        <v>0</v>
      </c>
      <c r="L75" s="300"/>
      <c r="M75" s="304"/>
      <c r="N75" s="304"/>
      <c r="O75" s="304"/>
      <c r="P75" s="304"/>
      <c r="Q75" s="300"/>
      <c r="R75" s="297">
        <f t="shared" si="3"/>
        <v>0</v>
      </c>
    </row>
    <row r="76" spans="1:18" s="77" customFormat="1" ht="31.2" hidden="1" x14ac:dyDescent="0.25">
      <c r="A76" s="90"/>
      <c r="B76" s="107" t="s">
        <v>478</v>
      </c>
      <c r="C76" s="95" t="s">
        <v>179</v>
      </c>
      <c r="D76" s="95" t="s">
        <v>53</v>
      </c>
      <c r="E76" s="291" t="s">
        <v>178</v>
      </c>
      <c r="F76" s="293">
        <f t="shared" si="7"/>
        <v>0</v>
      </c>
      <c r="G76" s="302"/>
      <c r="H76" s="292"/>
      <c r="I76" s="292"/>
      <c r="J76" s="301"/>
      <c r="K76" s="294">
        <f t="shared" si="6"/>
        <v>0</v>
      </c>
      <c r="L76" s="303"/>
      <c r="M76" s="304"/>
      <c r="N76" s="304"/>
      <c r="O76" s="304"/>
      <c r="P76" s="304"/>
      <c r="Q76" s="303"/>
      <c r="R76" s="297">
        <f t="shared" si="3"/>
        <v>0</v>
      </c>
    </row>
    <row r="77" spans="1:18" s="77" customFormat="1" ht="15.6" hidden="1" x14ac:dyDescent="0.25">
      <c r="A77" s="90"/>
      <c r="B77" s="107" t="s">
        <v>479</v>
      </c>
      <c r="C77" s="95" t="s">
        <v>177</v>
      </c>
      <c r="D77" s="95" t="s">
        <v>53</v>
      </c>
      <c r="E77" s="291" t="s">
        <v>176</v>
      </c>
      <c r="F77" s="293">
        <f t="shared" si="7"/>
        <v>0</v>
      </c>
      <c r="G77" s="302"/>
      <c r="H77" s="292"/>
      <c r="I77" s="292"/>
      <c r="J77" s="301"/>
      <c r="K77" s="299">
        <f t="shared" si="6"/>
        <v>0</v>
      </c>
      <c r="L77" s="300"/>
      <c r="M77" s="304"/>
      <c r="N77" s="304"/>
      <c r="O77" s="304"/>
      <c r="P77" s="304"/>
      <c r="Q77" s="300"/>
      <c r="R77" s="297">
        <f>F77+K77</f>
        <v>0</v>
      </c>
    </row>
    <row r="78" spans="1:18" s="77" customFormat="1" ht="31.2" hidden="1" x14ac:dyDescent="0.25">
      <c r="A78" s="90"/>
      <c r="B78" s="107"/>
      <c r="C78" s="95"/>
      <c r="D78" s="95"/>
      <c r="E78" s="291" t="s">
        <v>49</v>
      </c>
      <c r="F78" s="293">
        <f t="shared" si="7"/>
        <v>0</v>
      </c>
      <c r="G78" s="301"/>
      <c r="H78" s="292"/>
      <c r="I78" s="292"/>
      <c r="J78" s="301"/>
      <c r="K78" s="294"/>
      <c r="L78" s="303"/>
      <c r="M78" s="304"/>
      <c r="N78" s="304"/>
      <c r="O78" s="304"/>
      <c r="P78" s="304"/>
      <c r="Q78" s="303"/>
      <c r="R78" s="297">
        <f t="shared" si="3"/>
        <v>0</v>
      </c>
    </row>
    <row r="79" spans="1:18" s="77" customFormat="1" ht="42" hidden="1" customHeight="1" x14ac:dyDescent="0.25">
      <c r="A79" s="90"/>
      <c r="B79" s="107" t="s">
        <v>480</v>
      </c>
      <c r="C79" s="95" t="s">
        <v>175</v>
      </c>
      <c r="D79" s="95" t="s">
        <v>172</v>
      </c>
      <c r="E79" s="291" t="s">
        <v>174</v>
      </c>
      <c r="F79" s="293">
        <f t="shared" si="7"/>
        <v>0</v>
      </c>
      <c r="G79" s="301"/>
      <c r="H79" s="292"/>
      <c r="I79" s="292"/>
      <c r="J79" s="301"/>
      <c r="K79" s="299">
        <f t="shared" si="6"/>
        <v>0</v>
      </c>
      <c r="L79" s="300"/>
      <c r="M79" s="301"/>
      <c r="N79" s="301"/>
      <c r="O79" s="301"/>
      <c r="P79" s="301"/>
      <c r="Q79" s="300"/>
      <c r="R79" s="297">
        <f t="shared" si="3"/>
        <v>0</v>
      </c>
    </row>
    <row r="80" spans="1:18" s="77" customFormat="1" ht="15.6" hidden="1" x14ac:dyDescent="0.25">
      <c r="A80" s="90"/>
      <c r="B80" s="107" t="s">
        <v>481</v>
      </c>
      <c r="C80" s="95" t="s">
        <v>173</v>
      </c>
      <c r="D80" s="95" t="s">
        <v>172</v>
      </c>
      <c r="E80" s="291" t="s">
        <v>171</v>
      </c>
      <c r="F80" s="293">
        <f t="shared" si="7"/>
        <v>0</v>
      </c>
      <c r="G80" s="292"/>
      <c r="H80" s="292"/>
      <c r="I80" s="292"/>
      <c r="J80" s="301"/>
      <c r="K80" s="294">
        <f t="shared" si="6"/>
        <v>0</v>
      </c>
      <c r="L80" s="303"/>
      <c r="M80" s="304"/>
      <c r="N80" s="304"/>
      <c r="O80" s="304"/>
      <c r="P80" s="304"/>
      <c r="Q80" s="303"/>
      <c r="R80" s="297">
        <f t="shared" si="3"/>
        <v>0</v>
      </c>
    </row>
    <row r="81" spans="1:18" s="77" customFormat="1" ht="31.2" hidden="1" x14ac:dyDescent="0.25">
      <c r="A81" s="90"/>
      <c r="B81" s="107" t="s">
        <v>697</v>
      </c>
      <c r="C81" s="95" t="s">
        <v>698</v>
      </c>
      <c r="D81" s="95" t="s">
        <v>484</v>
      </c>
      <c r="E81" s="291" t="s">
        <v>699</v>
      </c>
      <c r="F81" s="293">
        <f t="shared" si="7"/>
        <v>0</v>
      </c>
      <c r="G81" s="292"/>
      <c r="H81" s="292"/>
      <c r="I81" s="292"/>
      <c r="J81" s="301"/>
      <c r="K81" s="294"/>
      <c r="L81" s="303"/>
      <c r="M81" s="304"/>
      <c r="N81" s="304"/>
      <c r="O81" s="304"/>
      <c r="P81" s="304"/>
      <c r="Q81" s="303"/>
      <c r="R81" s="297">
        <f t="shared" si="3"/>
        <v>0</v>
      </c>
    </row>
    <row r="82" spans="1:18" s="77" customFormat="1" ht="15.6" hidden="1" x14ac:dyDescent="0.25">
      <c r="A82" s="90"/>
      <c r="B82" s="107" t="s">
        <v>482</v>
      </c>
      <c r="C82" s="95" t="s">
        <v>483</v>
      </c>
      <c r="D82" s="95" t="s">
        <v>484</v>
      </c>
      <c r="E82" s="315" t="s">
        <v>485</v>
      </c>
      <c r="F82" s="293">
        <f t="shared" si="7"/>
        <v>0</v>
      </c>
      <c r="G82" s="292"/>
      <c r="H82" s="292"/>
      <c r="I82" s="292"/>
      <c r="J82" s="301"/>
      <c r="K82" s="294">
        <f t="shared" si="6"/>
        <v>0</v>
      </c>
      <c r="L82" s="303"/>
      <c r="M82" s="304"/>
      <c r="N82" s="304"/>
      <c r="O82" s="304"/>
      <c r="P82" s="304"/>
      <c r="Q82" s="303"/>
      <c r="R82" s="297">
        <f t="shared" si="3"/>
        <v>0</v>
      </c>
    </row>
    <row r="83" spans="1:18" s="77" customFormat="1" ht="16.2" hidden="1" thickBot="1" x14ac:dyDescent="0.3">
      <c r="A83" s="90"/>
      <c r="B83" s="107" t="s">
        <v>700</v>
      </c>
      <c r="C83" s="95">
        <v>8240</v>
      </c>
      <c r="D83" s="95" t="s">
        <v>484</v>
      </c>
      <c r="E83" s="316" t="s">
        <v>701</v>
      </c>
      <c r="F83" s="293">
        <f t="shared" si="7"/>
        <v>0</v>
      </c>
      <c r="G83" s="292"/>
      <c r="H83" s="293"/>
      <c r="I83" s="293"/>
      <c r="J83" s="299"/>
      <c r="K83" s="299">
        <f t="shared" si="6"/>
        <v>0</v>
      </c>
      <c r="L83" s="300"/>
      <c r="M83" s="301"/>
      <c r="N83" s="301"/>
      <c r="O83" s="301"/>
      <c r="P83" s="301"/>
      <c r="Q83" s="300"/>
      <c r="R83" s="297">
        <f t="shared" si="3"/>
        <v>0</v>
      </c>
    </row>
    <row r="84" spans="1:18" s="77" customFormat="1" ht="31.2" hidden="1" x14ac:dyDescent="0.25">
      <c r="A84" s="90"/>
      <c r="B84" s="107"/>
      <c r="C84" s="95"/>
      <c r="D84" s="95"/>
      <c r="E84" s="316" t="s">
        <v>534</v>
      </c>
      <c r="F84" s="293">
        <f>G84+J84</f>
        <v>0</v>
      </c>
      <c r="G84" s="292"/>
      <c r="H84" s="293"/>
      <c r="I84" s="293"/>
      <c r="J84" s="299"/>
      <c r="K84" s="294"/>
      <c r="L84" s="295"/>
      <c r="M84" s="294"/>
      <c r="N84" s="294"/>
      <c r="O84" s="294"/>
      <c r="P84" s="294"/>
      <c r="Q84" s="295"/>
      <c r="R84" s="297">
        <f t="shared" si="3"/>
        <v>0</v>
      </c>
    </row>
    <row r="85" spans="1:18" s="77" customFormat="1" ht="15.6" hidden="1" x14ac:dyDescent="0.25">
      <c r="A85" s="90"/>
      <c r="B85" s="107" t="s">
        <v>486</v>
      </c>
      <c r="C85" s="95" t="s">
        <v>170</v>
      </c>
      <c r="D85" s="95" t="s">
        <v>169</v>
      </c>
      <c r="E85" s="291" t="s">
        <v>168</v>
      </c>
      <c r="F85" s="293">
        <f t="shared" si="7"/>
        <v>0</v>
      </c>
      <c r="G85" s="292"/>
      <c r="H85" s="292"/>
      <c r="I85" s="292"/>
      <c r="J85" s="292"/>
      <c r="K85" s="299">
        <f t="shared" si="6"/>
        <v>0</v>
      </c>
      <c r="L85" s="300"/>
      <c r="M85" s="301"/>
      <c r="N85" s="301"/>
      <c r="O85" s="304"/>
      <c r="P85" s="304"/>
      <c r="Q85" s="300"/>
      <c r="R85" s="297">
        <f t="shared" si="3"/>
        <v>0</v>
      </c>
    </row>
    <row r="86" spans="1:18" s="77" customFormat="1" ht="15.6" hidden="1" x14ac:dyDescent="0.25">
      <c r="A86" s="90"/>
      <c r="B86" s="107"/>
      <c r="C86" s="95"/>
      <c r="D86" s="95"/>
      <c r="E86" s="291"/>
      <c r="F86" s="293"/>
      <c r="G86" s="292"/>
      <c r="H86" s="292"/>
      <c r="I86" s="292"/>
      <c r="J86" s="292"/>
      <c r="K86" s="299"/>
      <c r="L86" s="300"/>
      <c r="M86" s="301"/>
      <c r="N86" s="301"/>
      <c r="O86" s="304"/>
      <c r="P86" s="304"/>
      <c r="Q86" s="300"/>
      <c r="R86" s="297"/>
    </row>
    <row r="87" spans="1:18" s="77" customFormat="1" ht="15" hidden="1" customHeight="1" x14ac:dyDescent="0.25">
      <c r="A87" s="90"/>
      <c r="B87" s="107" t="s">
        <v>487</v>
      </c>
      <c r="C87" s="95" t="s">
        <v>167</v>
      </c>
      <c r="D87" s="95" t="s">
        <v>166</v>
      </c>
      <c r="E87" s="291" t="s">
        <v>165</v>
      </c>
      <c r="F87" s="293">
        <f t="shared" si="7"/>
        <v>0</v>
      </c>
      <c r="G87" s="292"/>
      <c r="H87" s="292"/>
      <c r="I87" s="292"/>
      <c r="J87" s="301"/>
      <c r="K87" s="294">
        <f t="shared" si="6"/>
        <v>0</v>
      </c>
      <c r="L87" s="303"/>
      <c r="M87" s="304"/>
      <c r="N87" s="304"/>
      <c r="O87" s="304"/>
      <c r="P87" s="304"/>
      <c r="Q87" s="303"/>
      <c r="R87" s="297">
        <f t="shared" si="3"/>
        <v>0</v>
      </c>
    </row>
    <row r="88" spans="1:18" s="77" customFormat="1" ht="78" hidden="1" x14ac:dyDescent="0.25">
      <c r="A88" s="90"/>
      <c r="B88" s="107" t="s">
        <v>702</v>
      </c>
      <c r="C88" s="95" t="s">
        <v>703</v>
      </c>
      <c r="D88" s="95" t="s">
        <v>7</v>
      </c>
      <c r="E88" s="291" t="s">
        <v>704</v>
      </c>
      <c r="F88" s="301"/>
      <c r="G88" s="301"/>
      <c r="H88" s="292"/>
      <c r="I88" s="292"/>
      <c r="J88" s="292"/>
      <c r="K88" s="299">
        <f t="shared" si="6"/>
        <v>0</v>
      </c>
      <c r="L88" s="317"/>
      <c r="M88" s="318"/>
      <c r="N88" s="318"/>
      <c r="O88" s="318"/>
      <c r="P88" s="318"/>
      <c r="Q88" s="317"/>
      <c r="R88" s="297">
        <f t="shared" si="3"/>
        <v>0</v>
      </c>
    </row>
    <row r="89" spans="1:18" s="77" customFormat="1" ht="31.2" hidden="1" x14ac:dyDescent="0.25">
      <c r="A89" s="90"/>
      <c r="B89" s="107" t="s">
        <v>705</v>
      </c>
      <c r="C89" s="95" t="s">
        <v>706</v>
      </c>
      <c r="D89" s="95" t="s">
        <v>7</v>
      </c>
      <c r="E89" s="291" t="s">
        <v>707</v>
      </c>
      <c r="F89" s="293">
        <f t="shared" si="7"/>
        <v>0</v>
      </c>
      <c r="G89" s="319"/>
      <c r="H89" s="292"/>
      <c r="I89" s="292"/>
      <c r="J89" s="292"/>
      <c r="K89" s="299">
        <f t="shared" si="6"/>
        <v>0</v>
      </c>
      <c r="L89" s="317"/>
      <c r="M89" s="318"/>
      <c r="N89" s="318"/>
      <c r="O89" s="318"/>
      <c r="P89" s="318"/>
      <c r="Q89" s="317"/>
      <c r="R89" s="297">
        <f t="shared" si="3"/>
        <v>0</v>
      </c>
    </row>
    <row r="90" spans="1:18" s="77" customFormat="1" ht="31.2" hidden="1" x14ac:dyDescent="0.25">
      <c r="A90" s="90"/>
      <c r="B90" s="107"/>
      <c r="C90" s="95"/>
      <c r="D90" s="95"/>
      <c r="E90" s="291" t="s">
        <v>491</v>
      </c>
      <c r="F90" s="293">
        <f t="shared" si="7"/>
        <v>0</v>
      </c>
      <c r="G90" s="319"/>
      <c r="H90" s="292"/>
      <c r="I90" s="292"/>
      <c r="J90" s="292"/>
      <c r="K90" s="294">
        <f t="shared" si="6"/>
        <v>0</v>
      </c>
      <c r="L90" s="303"/>
      <c r="M90" s="304"/>
      <c r="N90" s="304"/>
      <c r="O90" s="304"/>
      <c r="P90" s="304"/>
      <c r="Q90" s="303"/>
      <c r="R90" s="297">
        <f t="shared" si="3"/>
        <v>0</v>
      </c>
    </row>
    <row r="91" spans="1:18" s="77" customFormat="1" ht="15.6" hidden="1" x14ac:dyDescent="0.25">
      <c r="A91" s="90"/>
      <c r="B91" s="104" t="s">
        <v>708</v>
      </c>
      <c r="C91" s="719" t="s">
        <v>13</v>
      </c>
      <c r="D91" s="719" t="s">
        <v>7</v>
      </c>
      <c r="E91" s="320" t="s">
        <v>12</v>
      </c>
      <c r="F91" s="293">
        <f t="shared" si="7"/>
        <v>0</v>
      </c>
      <c r="G91" s="319"/>
      <c r="H91" s="292"/>
      <c r="I91" s="292"/>
      <c r="J91" s="292"/>
      <c r="K91" s="299">
        <f t="shared" si="6"/>
        <v>0</v>
      </c>
      <c r="L91" s="300"/>
      <c r="M91" s="304"/>
      <c r="N91" s="304"/>
      <c r="O91" s="304"/>
      <c r="P91" s="304"/>
      <c r="Q91" s="300"/>
      <c r="R91" s="297">
        <f t="shared" si="3"/>
        <v>0</v>
      </c>
    </row>
    <row r="92" spans="1:18" s="77" customFormat="1" ht="46.8" hidden="1" x14ac:dyDescent="0.25">
      <c r="A92" s="90"/>
      <c r="B92" s="107" t="s">
        <v>709</v>
      </c>
      <c r="C92" s="95" t="s">
        <v>8</v>
      </c>
      <c r="D92" s="95" t="s">
        <v>7</v>
      </c>
      <c r="E92" s="291" t="s">
        <v>6</v>
      </c>
      <c r="F92" s="293">
        <f t="shared" si="7"/>
        <v>0</v>
      </c>
      <c r="G92" s="292"/>
      <c r="H92" s="292"/>
      <c r="I92" s="292"/>
      <c r="J92" s="292"/>
      <c r="K92" s="299">
        <f t="shared" si="6"/>
        <v>0</v>
      </c>
      <c r="L92" s="292"/>
      <c r="M92" s="301"/>
      <c r="N92" s="301"/>
      <c r="O92" s="301"/>
      <c r="P92" s="301"/>
      <c r="Q92" s="292"/>
      <c r="R92" s="297">
        <f t="shared" si="3"/>
        <v>0</v>
      </c>
    </row>
    <row r="93" spans="1:18" s="77" customFormat="1" ht="15" hidden="1" customHeight="1" x14ac:dyDescent="0.25">
      <c r="A93" s="90"/>
      <c r="B93" s="112" t="s">
        <v>492</v>
      </c>
      <c r="C93" s="95"/>
      <c r="D93" s="95"/>
      <c r="E93" s="321"/>
      <c r="F93" s="293">
        <f t="shared" si="7"/>
        <v>0</v>
      </c>
      <c r="G93" s="292"/>
      <c r="H93" s="292"/>
      <c r="I93" s="292"/>
      <c r="J93" s="292"/>
      <c r="K93" s="294">
        <f t="shared" si="6"/>
        <v>0</v>
      </c>
      <c r="L93" s="303"/>
      <c r="M93" s="304"/>
      <c r="N93" s="304"/>
      <c r="O93" s="304"/>
      <c r="P93" s="304">
        <f>O93</f>
        <v>0</v>
      </c>
      <c r="Q93" s="304"/>
      <c r="R93" s="297">
        <f t="shared" si="3"/>
        <v>0</v>
      </c>
    </row>
    <row r="94" spans="1:18" s="77" customFormat="1" ht="15" hidden="1" customHeight="1" x14ac:dyDescent="0.25">
      <c r="A94" s="90"/>
      <c r="B94" s="112"/>
      <c r="C94" s="95"/>
      <c r="D94" s="95"/>
      <c r="E94" s="321"/>
      <c r="F94" s="293">
        <f t="shared" si="7"/>
        <v>0</v>
      </c>
      <c r="G94" s="292"/>
      <c r="H94" s="292"/>
      <c r="I94" s="292"/>
      <c r="J94" s="292"/>
      <c r="K94" s="294">
        <f t="shared" si="6"/>
        <v>0</v>
      </c>
      <c r="L94" s="303"/>
      <c r="M94" s="304"/>
      <c r="N94" s="304"/>
      <c r="O94" s="304"/>
      <c r="P94" s="304">
        <f>O94</f>
        <v>0</v>
      </c>
      <c r="Q94" s="304"/>
      <c r="R94" s="297">
        <f t="shared" si="3"/>
        <v>0</v>
      </c>
    </row>
    <row r="95" spans="1:18" s="77" customFormat="1" ht="15" hidden="1" customHeight="1" x14ac:dyDescent="0.25">
      <c r="A95" s="90"/>
      <c r="B95" s="112"/>
      <c r="C95" s="95"/>
      <c r="D95" s="95"/>
      <c r="E95" s="321"/>
      <c r="F95" s="293">
        <f t="shared" si="7"/>
        <v>0</v>
      </c>
      <c r="G95" s="292"/>
      <c r="H95" s="292"/>
      <c r="I95" s="292"/>
      <c r="J95" s="292"/>
      <c r="K95" s="294">
        <f t="shared" si="6"/>
        <v>0</v>
      </c>
      <c r="L95" s="303"/>
      <c r="M95" s="304"/>
      <c r="N95" s="304"/>
      <c r="O95" s="304"/>
      <c r="P95" s="304">
        <f>O95</f>
        <v>0</v>
      </c>
      <c r="Q95" s="304"/>
      <c r="R95" s="297">
        <f t="shared" si="3"/>
        <v>0</v>
      </c>
    </row>
    <row r="96" spans="1:18" s="77" customFormat="1" ht="15" hidden="1" customHeight="1" x14ac:dyDescent="0.25">
      <c r="A96" s="90"/>
      <c r="B96" s="113"/>
      <c r="C96" s="114" t="s">
        <v>359</v>
      </c>
      <c r="D96" s="114"/>
      <c r="E96" s="322"/>
      <c r="F96" s="323">
        <f t="shared" ref="F96:R96" si="8">SUM(F19:F95)-F20-F31-F52</f>
        <v>-188244</v>
      </c>
      <c r="G96" s="323">
        <f t="shared" si="8"/>
        <v>-188244</v>
      </c>
      <c r="H96" s="323">
        <f t="shared" si="8"/>
        <v>0</v>
      </c>
      <c r="I96" s="323">
        <f t="shared" si="8"/>
        <v>-188244</v>
      </c>
      <c r="J96" s="323">
        <f t="shared" si="8"/>
        <v>0</v>
      </c>
      <c r="K96" s="323">
        <f t="shared" si="8"/>
        <v>0</v>
      </c>
      <c r="L96" s="296">
        <f t="shared" si="8"/>
        <v>0</v>
      </c>
      <c r="M96" s="323">
        <f t="shared" si="8"/>
        <v>0</v>
      </c>
      <c r="N96" s="323">
        <f t="shared" si="8"/>
        <v>0</v>
      </c>
      <c r="O96" s="323">
        <f t="shared" si="8"/>
        <v>0</v>
      </c>
      <c r="P96" s="323">
        <f t="shared" si="8"/>
        <v>0</v>
      </c>
      <c r="Q96" s="323">
        <f t="shared" si="8"/>
        <v>0</v>
      </c>
      <c r="R96" s="324">
        <f t="shared" si="8"/>
        <v>-188244</v>
      </c>
    </row>
    <row r="97" spans="1:19" s="77" customFormat="1" ht="16.2" hidden="1" thickBot="1" x14ac:dyDescent="0.3">
      <c r="A97" s="90"/>
      <c r="B97" s="108"/>
      <c r="C97" s="118"/>
      <c r="D97" s="118"/>
      <c r="E97" s="330"/>
      <c r="F97" s="332">
        <f t="shared" ref="F97:Q97" si="9">F14-F96</f>
        <v>0</v>
      </c>
      <c r="G97" s="332">
        <f t="shared" si="9"/>
        <v>0</v>
      </c>
      <c r="H97" s="332">
        <f t="shared" si="9"/>
        <v>0</v>
      </c>
      <c r="I97" s="332">
        <f t="shared" si="9"/>
        <v>0</v>
      </c>
      <c r="J97" s="332">
        <f t="shared" si="9"/>
        <v>0</v>
      </c>
      <c r="K97" s="332">
        <f t="shared" si="9"/>
        <v>0</v>
      </c>
      <c r="L97" s="334">
        <f t="shared" si="9"/>
        <v>0</v>
      </c>
      <c r="M97" s="332">
        <f t="shared" si="9"/>
        <v>0</v>
      </c>
      <c r="N97" s="332">
        <f t="shared" si="9"/>
        <v>0</v>
      </c>
      <c r="O97" s="332">
        <f t="shared" si="9"/>
        <v>0</v>
      </c>
      <c r="P97" s="332">
        <f t="shared" si="9"/>
        <v>0</v>
      </c>
      <c r="Q97" s="332">
        <f t="shared" si="9"/>
        <v>0</v>
      </c>
      <c r="R97" s="335">
        <f t="shared" si="3"/>
        <v>0</v>
      </c>
    </row>
    <row r="98" spans="1:19" s="77" customFormat="1" ht="31.2" x14ac:dyDescent="0.25">
      <c r="A98" s="90"/>
      <c r="B98" s="284" t="s">
        <v>164</v>
      </c>
      <c r="C98" s="440"/>
      <c r="D98" s="440"/>
      <c r="E98" s="286" t="s">
        <v>493</v>
      </c>
      <c r="F98" s="287">
        <f>F99</f>
        <v>-54400</v>
      </c>
      <c r="G98" s="287">
        <f t="shared" ref="G98:Q98" si="10">G99</f>
        <v>-54400</v>
      </c>
      <c r="H98" s="287">
        <f t="shared" si="10"/>
        <v>0</v>
      </c>
      <c r="I98" s="287">
        <f t="shared" si="10"/>
        <v>0</v>
      </c>
      <c r="J98" s="287">
        <f t="shared" si="10"/>
        <v>0</v>
      </c>
      <c r="K98" s="287">
        <f t="shared" si="10"/>
        <v>54400</v>
      </c>
      <c r="L98" s="288">
        <f t="shared" si="10"/>
        <v>54400</v>
      </c>
      <c r="M98" s="287">
        <f t="shared" si="10"/>
        <v>0</v>
      </c>
      <c r="N98" s="753">
        <f t="shared" si="10"/>
        <v>0</v>
      </c>
      <c r="O98" s="753">
        <f t="shared" si="10"/>
        <v>0</v>
      </c>
      <c r="P98" s="287">
        <f t="shared" si="10"/>
        <v>0</v>
      </c>
      <c r="Q98" s="287">
        <f t="shared" si="10"/>
        <v>54400</v>
      </c>
      <c r="R98" s="289">
        <f t="shared" si="3"/>
        <v>0</v>
      </c>
    </row>
    <row r="99" spans="1:19" s="77" customFormat="1" ht="31.8" thickBot="1" x14ac:dyDescent="0.3">
      <c r="A99" s="90"/>
      <c r="B99" s="433" t="s">
        <v>494</v>
      </c>
      <c r="C99" s="441"/>
      <c r="D99" s="441"/>
      <c r="E99" s="435" t="s">
        <v>493</v>
      </c>
      <c r="F99" s="442">
        <f t="shared" ref="F99:K99" si="11">F107+F109+F116+F118+F119+F127+F120+F121+F123+F128+F106+F112+F131+F133+F142+F124+F125+F122+F114+F140+F135+F144+F136+F126+F147+F138+F137+F111+F139+F129+F130</f>
        <v>-54400</v>
      </c>
      <c r="G99" s="442">
        <f t="shared" si="11"/>
        <v>-54400</v>
      </c>
      <c r="H99" s="442">
        <f t="shared" si="11"/>
        <v>0</v>
      </c>
      <c r="I99" s="442">
        <f t="shared" si="11"/>
        <v>0</v>
      </c>
      <c r="J99" s="442">
        <f t="shared" si="11"/>
        <v>0</v>
      </c>
      <c r="K99" s="442">
        <f t="shared" si="11"/>
        <v>54400</v>
      </c>
      <c r="L99" s="442">
        <f t="shared" ref="L99:R99" si="12">L107+L109+L116+L118+L119+L127+L120+L121+L123+L128+L106+L112+L131+L133+L142+L124+L125+L122+L114+L140+L135+L144+L136+L126+L147+L138+L137+L111+L139+L129+L130</f>
        <v>54400</v>
      </c>
      <c r="M99" s="442">
        <f t="shared" si="12"/>
        <v>0</v>
      </c>
      <c r="N99" s="442">
        <f t="shared" si="12"/>
        <v>0</v>
      </c>
      <c r="O99" s="442">
        <f t="shared" si="12"/>
        <v>0</v>
      </c>
      <c r="P99" s="442">
        <f t="shared" si="12"/>
        <v>0</v>
      </c>
      <c r="Q99" s="442">
        <f t="shared" si="12"/>
        <v>54400</v>
      </c>
      <c r="R99" s="436">
        <f t="shared" si="12"/>
        <v>0</v>
      </c>
      <c r="S99" s="117">
        <f>H99+O99</f>
        <v>0</v>
      </c>
    </row>
    <row r="100" spans="1:19" s="77" customFormat="1" ht="31.8" hidden="1" thickBot="1" x14ac:dyDescent="0.3">
      <c r="A100" s="90"/>
      <c r="B100" s="87"/>
      <c r="C100" s="437"/>
      <c r="D100" s="437"/>
      <c r="E100" s="428" t="s">
        <v>923</v>
      </c>
      <c r="F100" s="438">
        <f t="shared" ref="F100:K100" si="13">F140+F130</f>
        <v>0</v>
      </c>
      <c r="G100" s="438">
        <f t="shared" si="13"/>
        <v>0</v>
      </c>
      <c r="H100" s="438">
        <f t="shared" si="13"/>
        <v>0</v>
      </c>
      <c r="I100" s="438">
        <f t="shared" si="13"/>
        <v>0</v>
      </c>
      <c r="J100" s="438">
        <f t="shared" si="13"/>
        <v>0</v>
      </c>
      <c r="K100" s="438">
        <f t="shared" si="13"/>
        <v>0</v>
      </c>
      <c r="L100" s="438">
        <f t="shared" ref="L100:R100" si="14">L140+L130</f>
        <v>0</v>
      </c>
      <c r="M100" s="438">
        <f t="shared" si="14"/>
        <v>0</v>
      </c>
      <c r="N100" s="438">
        <f t="shared" si="14"/>
        <v>0</v>
      </c>
      <c r="O100" s="438">
        <f t="shared" si="14"/>
        <v>0</v>
      </c>
      <c r="P100" s="438">
        <f t="shared" si="14"/>
        <v>0</v>
      </c>
      <c r="Q100" s="438">
        <f t="shared" si="14"/>
        <v>0</v>
      </c>
      <c r="R100" s="1120">
        <f t="shared" si="14"/>
        <v>0</v>
      </c>
      <c r="S100" s="77" t="e">
        <f>S99/R99*100</f>
        <v>#DIV/0!</v>
      </c>
    </row>
    <row r="101" spans="1:19" s="77" customFormat="1" ht="46.8" hidden="1" x14ac:dyDescent="0.25">
      <c r="A101" s="90"/>
      <c r="B101" s="91"/>
      <c r="C101" s="95"/>
      <c r="D101" s="95"/>
      <c r="E101" s="291" t="s">
        <v>496</v>
      </c>
      <c r="F101" s="293">
        <f>G101+J101</f>
        <v>0</v>
      </c>
      <c r="G101" s="293">
        <f>G121</f>
        <v>0</v>
      </c>
      <c r="H101" s="293">
        <f>H121</f>
        <v>0</v>
      </c>
      <c r="I101" s="293">
        <f>I121</f>
        <v>0</v>
      </c>
      <c r="J101" s="292"/>
      <c r="K101" s="299">
        <f t="shared" si="6"/>
        <v>0</v>
      </c>
      <c r="L101" s="308"/>
      <c r="M101" s="293">
        <f>M131</f>
        <v>0</v>
      </c>
      <c r="N101" s="293">
        <f>N131</f>
        <v>0</v>
      </c>
      <c r="O101" s="293">
        <f>O131</f>
        <v>0</v>
      </c>
      <c r="P101" s="293">
        <f>P131</f>
        <v>0</v>
      </c>
      <c r="Q101" s="293"/>
      <c r="R101" s="297">
        <f t="shared" si="3"/>
        <v>0</v>
      </c>
    </row>
    <row r="102" spans="1:19" s="77" customFormat="1" ht="63" hidden="1" thickBot="1" x14ac:dyDescent="0.3">
      <c r="A102" s="90"/>
      <c r="B102" s="91"/>
      <c r="C102" s="95"/>
      <c r="D102" s="95"/>
      <c r="E102" s="291" t="s">
        <v>497</v>
      </c>
      <c r="F102" s="293">
        <f>G102+J102</f>
        <v>0</v>
      </c>
      <c r="G102" s="293">
        <f>G131</f>
        <v>0</v>
      </c>
      <c r="H102" s="293">
        <f>H131</f>
        <v>0</v>
      </c>
      <c r="I102" s="293">
        <f t="shared" ref="I102:Q102" si="15">I131</f>
        <v>0</v>
      </c>
      <c r="J102" s="293">
        <f t="shared" si="15"/>
        <v>0</v>
      </c>
      <c r="K102" s="293">
        <f t="shared" si="15"/>
        <v>0</v>
      </c>
      <c r="L102" s="293">
        <f t="shared" si="15"/>
        <v>0</v>
      </c>
      <c r="M102" s="293">
        <f t="shared" si="15"/>
        <v>0</v>
      </c>
      <c r="N102" s="293">
        <f t="shared" si="15"/>
        <v>0</v>
      </c>
      <c r="O102" s="293">
        <f t="shared" si="15"/>
        <v>0</v>
      </c>
      <c r="P102" s="293">
        <f t="shared" si="15"/>
        <v>0</v>
      </c>
      <c r="Q102" s="293">
        <f t="shared" si="15"/>
        <v>0</v>
      </c>
      <c r="R102" s="297">
        <f t="shared" si="3"/>
        <v>0</v>
      </c>
    </row>
    <row r="103" spans="1:19" s="77" customFormat="1" ht="31.8" hidden="1" thickBot="1" x14ac:dyDescent="0.3">
      <c r="A103" s="90"/>
      <c r="B103" s="91"/>
      <c r="C103" s="95"/>
      <c r="D103" s="95"/>
      <c r="E103" s="543" t="s">
        <v>736</v>
      </c>
      <c r="F103" s="293">
        <f t="shared" ref="F103:K103" si="16">F138+F139</f>
        <v>0</v>
      </c>
      <c r="G103" s="293">
        <f t="shared" si="16"/>
        <v>0</v>
      </c>
      <c r="H103" s="293">
        <f t="shared" si="16"/>
        <v>0</v>
      </c>
      <c r="I103" s="293">
        <f t="shared" si="16"/>
        <v>0</v>
      </c>
      <c r="J103" s="293">
        <f t="shared" si="16"/>
        <v>0</v>
      </c>
      <c r="K103" s="293">
        <f t="shared" si="16"/>
        <v>0</v>
      </c>
      <c r="L103" s="293">
        <f t="shared" ref="L103:R103" si="17">L138+L139</f>
        <v>0</v>
      </c>
      <c r="M103" s="293">
        <f t="shared" si="17"/>
        <v>0</v>
      </c>
      <c r="N103" s="293">
        <f t="shared" si="17"/>
        <v>0</v>
      </c>
      <c r="O103" s="293">
        <f t="shared" si="17"/>
        <v>0</v>
      </c>
      <c r="P103" s="293">
        <f t="shared" si="17"/>
        <v>0</v>
      </c>
      <c r="Q103" s="293">
        <f t="shared" si="17"/>
        <v>0</v>
      </c>
      <c r="R103" s="297">
        <f t="shared" si="17"/>
        <v>0</v>
      </c>
    </row>
    <row r="104" spans="1:19" s="77" customFormat="1" ht="31.2" hidden="1" customHeight="1" x14ac:dyDescent="0.25">
      <c r="A104" s="90"/>
      <c r="B104" s="91"/>
      <c r="C104" s="95"/>
      <c r="D104" s="95"/>
      <c r="E104" s="291" t="s">
        <v>710</v>
      </c>
      <c r="F104" s="293">
        <f t="shared" ref="F104:K104" si="18">F136</f>
        <v>0</v>
      </c>
      <c r="G104" s="293">
        <f t="shared" si="18"/>
        <v>0</v>
      </c>
      <c r="H104" s="293">
        <f t="shared" si="18"/>
        <v>0</v>
      </c>
      <c r="I104" s="293">
        <f t="shared" si="18"/>
        <v>0</v>
      </c>
      <c r="J104" s="293">
        <f t="shared" si="18"/>
        <v>0</v>
      </c>
      <c r="K104" s="293">
        <f t="shared" si="18"/>
        <v>0</v>
      </c>
      <c r="L104" s="293">
        <f t="shared" ref="L104:Q104" si="19">L136</f>
        <v>0</v>
      </c>
      <c r="M104" s="293">
        <f t="shared" si="19"/>
        <v>0</v>
      </c>
      <c r="N104" s="293">
        <f t="shared" si="19"/>
        <v>0</v>
      </c>
      <c r="O104" s="293">
        <f t="shared" si="19"/>
        <v>0</v>
      </c>
      <c r="P104" s="293">
        <f t="shared" si="19"/>
        <v>0</v>
      </c>
      <c r="Q104" s="293">
        <f t="shared" si="19"/>
        <v>0</v>
      </c>
      <c r="R104" s="297">
        <f t="shared" si="3"/>
        <v>0</v>
      </c>
    </row>
    <row r="105" spans="1:19" s="77" customFormat="1" ht="31.2" hidden="1" customHeight="1" x14ac:dyDescent="0.25">
      <c r="A105" s="90"/>
      <c r="B105" s="91"/>
      <c r="C105" s="95"/>
      <c r="D105" s="95"/>
      <c r="E105" s="125" t="s">
        <v>711</v>
      </c>
      <c r="F105" s="421">
        <f t="shared" ref="F105:F141" si="20">G105+J105</f>
        <v>0</v>
      </c>
      <c r="G105" s="421">
        <f>G110</f>
        <v>0</v>
      </c>
      <c r="H105" s="421">
        <f t="shared" ref="H105:Q105" si="21">H110</f>
        <v>0</v>
      </c>
      <c r="I105" s="421">
        <f t="shared" si="21"/>
        <v>0</v>
      </c>
      <c r="J105" s="325">
        <f t="shared" si="21"/>
        <v>0</v>
      </c>
      <c r="K105" s="325">
        <f t="shared" si="21"/>
        <v>0</v>
      </c>
      <c r="L105" s="325">
        <f t="shared" si="21"/>
        <v>0</v>
      </c>
      <c r="M105" s="325">
        <f t="shared" si="21"/>
        <v>0</v>
      </c>
      <c r="N105" s="325">
        <f t="shared" si="21"/>
        <v>0</v>
      </c>
      <c r="O105" s="325">
        <f t="shared" si="21"/>
        <v>0</v>
      </c>
      <c r="P105" s="325">
        <f t="shared" si="21"/>
        <v>0</v>
      </c>
      <c r="Q105" s="325">
        <f t="shared" si="21"/>
        <v>0</v>
      </c>
      <c r="R105" s="297">
        <f t="shared" si="3"/>
        <v>0</v>
      </c>
    </row>
    <row r="106" spans="1:19" s="77" customFormat="1" ht="46.8" hidden="1" x14ac:dyDescent="0.25">
      <c r="A106" s="90"/>
      <c r="B106" s="107" t="s">
        <v>498</v>
      </c>
      <c r="C106" s="95" t="s">
        <v>44</v>
      </c>
      <c r="D106" s="95" t="s">
        <v>43</v>
      </c>
      <c r="E106" s="291" t="s">
        <v>580</v>
      </c>
      <c r="F106" s="421">
        <f t="shared" si="20"/>
        <v>0</v>
      </c>
      <c r="G106" s="544"/>
      <c r="H106" s="544"/>
      <c r="I106" s="544"/>
      <c r="J106" s="293"/>
      <c r="K106" s="293"/>
      <c r="L106" s="308"/>
      <c r="M106" s="293"/>
      <c r="N106" s="293"/>
      <c r="O106" s="293"/>
      <c r="P106" s="293"/>
      <c r="Q106" s="293"/>
      <c r="R106" s="297">
        <f t="shared" si="3"/>
        <v>0</v>
      </c>
    </row>
    <row r="107" spans="1:19" s="77" customFormat="1" ht="15.6" x14ac:dyDescent="0.25">
      <c r="A107" s="90"/>
      <c r="B107" s="107" t="s">
        <v>162</v>
      </c>
      <c r="C107" s="95" t="s">
        <v>78</v>
      </c>
      <c r="D107" s="95" t="s">
        <v>161</v>
      </c>
      <c r="E107" s="291" t="s">
        <v>499</v>
      </c>
      <c r="F107" s="421">
        <f t="shared" si="20"/>
        <v>14012</v>
      </c>
      <c r="G107" s="302">
        <v>14012</v>
      </c>
      <c r="H107" s="545"/>
      <c r="I107" s="302"/>
      <c r="J107" s="301"/>
      <c r="K107" s="299">
        <f t="shared" si="6"/>
        <v>0</v>
      </c>
      <c r="L107" s="300"/>
      <c r="M107" s="301"/>
      <c r="N107" s="301"/>
      <c r="O107" s="301"/>
      <c r="P107" s="301"/>
      <c r="Q107" s="300"/>
      <c r="R107" s="297">
        <f t="shared" si="3"/>
        <v>14012</v>
      </c>
    </row>
    <row r="108" spans="1:19" s="77" customFormat="1" ht="62.4" hidden="1" x14ac:dyDescent="0.25">
      <c r="A108" s="90"/>
      <c r="B108" s="107"/>
      <c r="C108" s="95"/>
      <c r="D108" s="95"/>
      <c r="E108" s="291" t="s">
        <v>497</v>
      </c>
      <c r="F108" s="421">
        <f>G108+J108</f>
        <v>0</v>
      </c>
      <c r="G108" s="705"/>
      <c r="H108" s="545"/>
      <c r="I108" s="705"/>
      <c r="J108" s="301"/>
      <c r="K108" s="299">
        <f t="shared" si="6"/>
        <v>0</v>
      </c>
      <c r="L108" s="300"/>
      <c r="M108" s="301"/>
      <c r="N108" s="301"/>
      <c r="O108" s="301"/>
      <c r="P108" s="301"/>
      <c r="Q108" s="300"/>
      <c r="R108" s="297">
        <f t="shared" si="3"/>
        <v>0</v>
      </c>
    </row>
    <row r="109" spans="1:19" s="77" customFormat="1" ht="46.8" x14ac:dyDescent="0.25">
      <c r="A109" s="90"/>
      <c r="B109" s="107" t="s">
        <v>158</v>
      </c>
      <c r="C109" s="95" t="s">
        <v>157</v>
      </c>
      <c r="D109" s="95" t="s">
        <v>153</v>
      </c>
      <c r="E109" s="291" t="s">
        <v>1111</v>
      </c>
      <c r="F109" s="421">
        <f t="shared" si="20"/>
        <v>25853</v>
      </c>
      <c r="G109" s="302">
        <v>25853</v>
      </c>
      <c r="H109" s="545"/>
      <c r="I109" s="302"/>
      <c r="J109" s="301"/>
      <c r="K109" s="299">
        <f t="shared" si="6"/>
        <v>0</v>
      </c>
      <c r="L109" s="300"/>
      <c r="M109" s="301"/>
      <c r="N109" s="300"/>
      <c r="O109" s="301"/>
      <c r="P109" s="301"/>
      <c r="Q109" s="300"/>
      <c r="R109" s="297">
        <f t="shared" si="3"/>
        <v>25853</v>
      </c>
    </row>
    <row r="110" spans="1:19" s="77" customFormat="1" ht="31.2" hidden="1" x14ac:dyDescent="0.25">
      <c r="A110" s="90"/>
      <c r="B110" s="107"/>
      <c r="C110" s="95"/>
      <c r="D110" s="95"/>
      <c r="E110" s="125" t="s">
        <v>922</v>
      </c>
      <c r="F110" s="546">
        <f t="shared" si="20"/>
        <v>0</v>
      </c>
      <c r="G110" s="545"/>
      <c r="H110" s="545"/>
      <c r="I110" s="545"/>
      <c r="J110" s="301"/>
      <c r="K110" s="299">
        <f t="shared" si="6"/>
        <v>0</v>
      </c>
      <c r="L110" s="300"/>
      <c r="M110" s="301"/>
      <c r="N110" s="301"/>
      <c r="O110" s="301"/>
      <c r="P110" s="301"/>
      <c r="Q110" s="300"/>
      <c r="R110" s="297">
        <f t="shared" si="3"/>
        <v>0</v>
      </c>
    </row>
    <row r="111" spans="1:19" s="77" customFormat="1" ht="46.8" x14ac:dyDescent="0.25">
      <c r="A111" s="90"/>
      <c r="B111" s="107" t="s">
        <v>947</v>
      </c>
      <c r="C111" s="95" t="s">
        <v>948</v>
      </c>
      <c r="D111" s="95" t="s">
        <v>153</v>
      </c>
      <c r="E111" s="125" t="s">
        <v>949</v>
      </c>
      <c r="F111" s="421">
        <f t="shared" si="20"/>
        <v>-41796</v>
      </c>
      <c r="G111" s="545">
        <v>-41796</v>
      </c>
      <c r="H111" s="545"/>
      <c r="I111" s="545"/>
      <c r="J111" s="301"/>
      <c r="K111" s="299">
        <f t="shared" si="6"/>
        <v>0</v>
      </c>
      <c r="L111" s="300"/>
      <c r="M111" s="301"/>
      <c r="N111" s="300"/>
      <c r="O111" s="301"/>
      <c r="P111" s="301"/>
      <c r="Q111" s="300"/>
      <c r="R111" s="297">
        <f t="shared" si="3"/>
        <v>-41796</v>
      </c>
    </row>
    <row r="112" spans="1:19" s="77" customFormat="1" ht="46.8" hidden="1" x14ac:dyDescent="0.25">
      <c r="A112" s="90"/>
      <c r="B112" s="104" t="s">
        <v>500</v>
      </c>
      <c r="C112" s="719" t="s">
        <v>501</v>
      </c>
      <c r="D112" s="719" t="s">
        <v>153</v>
      </c>
      <c r="E112" s="307" t="s">
        <v>1112</v>
      </c>
      <c r="F112" s="293">
        <f t="shared" si="20"/>
        <v>0</v>
      </c>
      <c r="G112" s="704"/>
      <c r="H112" s="704"/>
      <c r="I112" s="704"/>
      <c r="J112" s="301"/>
      <c r="K112" s="299">
        <f t="shared" si="6"/>
        <v>0</v>
      </c>
      <c r="L112" s="300"/>
      <c r="M112" s="301"/>
      <c r="N112" s="300"/>
      <c r="O112" s="301"/>
      <c r="P112" s="301"/>
      <c r="Q112" s="300"/>
      <c r="R112" s="297">
        <f t="shared" si="3"/>
        <v>0</v>
      </c>
    </row>
    <row r="113" spans="1:18" s="77" customFormat="1" ht="39" hidden="1" customHeight="1" x14ac:dyDescent="0.25">
      <c r="A113" s="90"/>
      <c r="B113" s="107"/>
      <c r="C113" s="95"/>
      <c r="D113" s="95"/>
      <c r="E113" s="291" t="s">
        <v>49</v>
      </c>
      <c r="F113" s="293">
        <f t="shared" si="20"/>
        <v>0</v>
      </c>
      <c r="G113" s="704"/>
      <c r="H113" s="704"/>
      <c r="I113" s="704"/>
      <c r="J113" s="301"/>
      <c r="K113" s="299">
        <f t="shared" si="6"/>
        <v>0</v>
      </c>
      <c r="L113" s="300"/>
      <c r="M113" s="301"/>
      <c r="N113" s="300"/>
      <c r="O113" s="301"/>
      <c r="P113" s="301"/>
      <c r="Q113" s="300"/>
      <c r="R113" s="297">
        <f t="shared" si="3"/>
        <v>0</v>
      </c>
    </row>
    <row r="114" spans="1:18" s="77" customFormat="1" ht="31.2" hidden="1" x14ac:dyDescent="0.25">
      <c r="A114" s="90"/>
      <c r="B114" s="104" t="s">
        <v>155</v>
      </c>
      <c r="C114" s="719" t="s">
        <v>154</v>
      </c>
      <c r="D114" s="719" t="s">
        <v>153</v>
      </c>
      <c r="E114" s="307" t="s">
        <v>152</v>
      </c>
      <c r="F114" s="293">
        <f t="shared" si="20"/>
        <v>0</v>
      </c>
      <c r="G114" s="756"/>
      <c r="H114" s="756"/>
      <c r="I114" s="756"/>
      <c r="J114" s="301"/>
      <c r="K114" s="299">
        <f t="shared" si="6"/>
        <v>0</v>
      </c>
      <c r="L114" s="300"/>
      <c r="M114" s="301"/>
      <c r="N114" s="300"/>
      <c r="O114" s="301"/>
      <c r="P114" s="301"/>
      <c r="Q114" s="300"/>
      <c r="R114" s="297">
        <f t="shared" si="3"/>
        <v>0</v>
      </c>
    </row>
    <row r="115" spans="1:18" s="77" customFormat="1" ht="31.2" hidden="1" x14ac:dyDescent="0.25">
      <c r="A115" s="90"/>
      <c r="B115" s="104"/>
      <c r="C115" s="719"/>
      <c r="D115" s="719"/>
      <c r="E115" s="291" t="s">
        <v>495</v>
      </c>
      <c r="F115" s="293">
        <f t="shared" si="20"/>
        <v>0</v>
      </c>
      <c r="G115" s="757"/>
      <c r="H115" s="757"/>
      <c r="I115" s="757"/>
      <c r="J115" s="301"/>
      <c r="K115" s="299">
        <f t="shared" si="6"/>
        <v>0</v>
      </c>
      <c r="L115" s="300"/>
      <c r="M115" s="301"/>
      <c r="N115" s="300"/>
      <c r="O115" s="301"/>
      <c r="P115" s="301"/>
      <c r="Q115" s="300"/>
      <c r="R115" s="297">
        <f t="shared" si="3"/>
        <v>0</v>
      </c>
    </row>
    <row r="116" spans="1:18" s="77" customFormat="1" ht="37.200000000000003" customHeight="1" x14ac:dyDescent="0.25">
      <c r="A116" s="90"/>
      <c r="B116" s="107" t="s">
        <v>151</v>
      </c>
      <c r="C116" s="95" t="s">
        <v>95</v>
      </c>
      <c r="D116" s="95" t="s">
        <v>39</v>
      </c>
      <c r="E116" s="291" t="s">
        <v>150</v>
      </c>
      <c r="F116" s="293">
        <f t="shared" si="20"/>
        <v>1931</v>
      </c>
      <c r="G116" s="302">
        <v>1931</v>
      </c>
      <c r="H116" s="302"/>
      <c r="I116" s="302"/>
      <c r="J116" s="301"/>
      <c r="K116" s="299">
        <f t="shared" si="6"/>
        <v>0</v>
      </c>
      <c r="L116" s="300"/>
      <c r="M116" s="301"/>
      <c r="N116" s="300"/>
      <c r="O116" s="301"/>
      <c r="P116" s="301"/>
      <c r="Q116" s="300"/>
      <c r="R116" s="297">
        <f t="shared" si="3"/>
        <v>1931</v>
      </c>
    </row>
    <row r="117" spans="1:18" s="77" customFormat="1" ht="31.2" hidden="1" x14ac:dyDescent="0.25">
      <c r="A117" s="90"/>
      <c r="B117" s="107"/>
      <c r="C117" s="95"/>
      <c r="D117" s="95"/>
      <c r="E117" s="291" t="s">
        <v>711</v>
      </c>
      <c r="F117" s="293">
        <f t="shared" si="20"/>
        <v>0</v>
      </c>
      <c r="G117" s="302"/>
      <c r="H117" s="302"/>
      <c r="I117" s="302"/>
      <c r="J117" s="301"/>
      <c r="K117" s="299">
        <f t="shared" si="6"/>
        <v>0</v>
      </c>
      <c r="L117" s="300"/>
      <c r="M117" s="301"/>
      <c r="N117" s="300"/>
      <c r="O117" s="301"/>
      <c r="P117" s="301"/>
      <c r="Q117" s="300"/>
      <c r="R117" s="297">
        <f t="shared" si="3"/>
        <v>0</v>
      </c>
    </row>
    <row r="118" spans="1:18" s="77" customFormat="1" ht="15.6" customHeight="1" x14ac:dyDescent="0.25">
      <c r="A118" s="90"/>
      <c r="B118" s="122" t="s">
        <v>149</v>
      </c>
      <c r="C118" s="98" t="s">
        <v>148</v>
      </c>
      <c r="D118" s="98" t="s">
        <v>126</v>
      </c>
      <c r="E118" s="306" t="s">
        <v>147</v>
      </c>
      <c r="F118" s="293">
        <f t="shared" si="20"/>
        <v>-36000</v>
      </c>
      <c r="G118" s="545">
        <v>-36000</v>
      </c>
      <c r="H118" s="545"/>
      <c r="I118" s="545"/>
      <c r="J118" s="301"/>
      <c r="K118" s="299">
        <f t="shared" si="6"/>
        <v>36000</v>
      </c>
      <c r="L118" s="751">
        <v>36000</v>
      </c>
      <c r="M118" s="301"/>
      <c r="N118" s="751"/>
      <c r="O118" s="752"/>
      <c r="P118" s="301"/>
      <c r="Q118" s="751">
        <v>36000</v>
      </c>
      <c r="R118" s="297">
        <f t="shared" si="3"/>
        <v>0</v>
      </c>
    </row>
    <row r="119" spans="1:18" s="77" customFormat="1" ht="15.6" hidden="1" customHeight="1" x14ac:dyDescent="0.25">
      <c r="A119" s="90"/>
      <c r="B119" s="122" t="s">
        <v>146</v>
      </c>
      <c r="C119" s="98" t="s">
        <v>145</v>
      </c>
      <c r="D119" s="98" t="s">
        <v>126</v>
      </c>
      <c r="E119" s="306" t="s">
        <v>144</v>
      </c>
      <c r="F119" s="293">
        <f t="shared" si="20"/>
        <v>0</v>
      </c>
      <c r="G119" s="302"/>
      <c r="H119" s="311"/>
      <c r="I119" s="311"/>
      <c r="J119" s="299"/>
      <c r="K119" s="299">
        <f t="shared" si="6"/>
        <v>0</v>
      </c>
      <c r="L119" s="309"/>
      <c r="M119" s="299"/>
      <c r="N119" s="299"/>
      <c r="O119" s="299"/>
      <c r="P119" s="299"/>
      <c r="Q119" s="309"/>
      <c r="R119" s="297">
        <f t="shared" si="3"/>
        <v>0</v>
      </c>
    </row>
    <row r="120" spans="1:18" s="77" customFormat="1" ht="31.2" hidden="1" customHeight="1" x14ac:dyDescent="0.25">
      <c r="A120" s="90"/>
      <c r="B120" s="122" t="s">
        <v>502</v>
      </c>
      <c r="C120" s="98" t="s">
        <v>503</v>
      </c>
      <c r="D120" s="98" t="s">
        <v>126</v>
      </c>
      <c r="E120" s="306" t="s">
        <v>504</v>
      </c>
      <c r="F120" s="293">
        <f t="shared" si="20"/>
        <v>0</v>
      </c>
      <c r="G120" s="302"/>
      <c r="H120" s="302"/>
      <c r="I120" s="302"/>
      <c r="J120" s="301"/>
      <c r="K120" s="299">
        <f t="shared" si="6"/>
        <v>0</v>
      </c>
      <c r="L120" s="300"/>
      <c r="M120" s="301"/>
      <c r="N120" s="301"/>
      <c r="O120" s="301"/>
      <c r="P120" s="301"/>
      <c r="Q120" s="300"/>
      <c r="R120" s="297">
        <f t="shared" ref="R120:R139" si="22">F120+K120</f>
        <v>0</v>
      </c>
    </row>
    <row r="121" spans="1:18" s="77" customFormat="1" ht="46.95" hidden="1" customHeight="1" x14ac:dyDescent="0.25">
      <c r="A121" s="90"/>
      <c r="B121" s="122" t="s">
        <v>505</v>
      </c>
      <c r="C121" s="98" t="s">
        <v>506</v>
      </c>
      <c r="D121" s="98" t="s">
        <v>126</v>
      </c>
      <c r="E121" s="306" t="s">
        <v>507</v>
      </c>
      <c r="F121" s="293">
        <f t="shared" si="20"/>
        <v>0</v>
      </c>
      <c r="G121" s="302"/>
      <c r="H121" s="302"/>
      <c r="I121" s="311"/>
      <c r="J121" s="301"/>
      <c r="K121" s="299">
        <f t="shared" si="6"/>
        <v>0</v>
      </c>
      <c r="L121" s="300"/>
      <c r="M121" s="301"/>
      <c r="N121" s="301"/>
      <c r="O121" s="301"/>
      <c r="P121" s="301"/>
      <c r="Q121" s="300"/>
      <c r="R121" s="297">
        <f t="shared" si="22"/>
        <v>0</v>
      </c>
    </row>
    <row r="122" spans="1:18" s="77" customFormat="1" ht="93.6" hidden="1" x14ac:dyDescent="0.25">
      <c r="A122" s="90"/>
      <c r="B122" s="122" t="s">
        <v>143</v>
      </c>
      <c r="C122" s="98" t="s">
        <v>142</v>
      </c>
      <c r="D122" s="98" t="s">
        <v>126</v>
      </c>
      <c r="E122" s="306" t="s">
        <v>141</v>
      </c>
      <c r="F122" s="293">
        <f t="shared" si="20"/>
        <v>0</v>
      </c>
      <c r="G122" s="302"/>
      <c r="H122" s="302"/>
      <c r="I122" s="311"/>
      <c r="J122" s="301"/>
      <c r="K122" s="299">
        <f t="shared" si="6"/>
        <v>0</v>
      </c>
      <c r="L122" s="300"/>
      <c r="M122" s="301"/>
      <c r="N122" s="301"/>
      <c r="O122" s="301"/>
      <c r="P122" s="301"/>
      <c r="Q122" s="300"/>
      <c r="R122" s="297">
        <f t="shared" si="22"/>
        <v>0</v>
      </c>
    </row>
    <row r="123" spans="1:18" s="77" customFormat="1" ht="36" customHeight="1" thickBot="1" x14ac:dyDescent="0.3">
      <c r="A123" s="90"/>
      <c r="B123" s="122" t="s">
        <v>508</v>
      </c>
      <c r="C123" s="98" t="s">
        <v>509</v>
      </c>
      <c r="D123" s="98" t="s">
        <v>126</v>
      </c>
      <c r="E123" s="306" t="s">
        <v>510</v>
      </c>
      <c r="F123" s="293">
        <f t="shared" si="20"/>
        <v>-18400</v>
      </c>
      <c r="G123" s="302">
        <v>-18400</v>
      </c>
      <c r="H123" s="302"/>
      <c r="I123" s="302"/>
      <c r="J123" s="301"/>
      <c r="K123" s="299">
        <f t="shared" si="6"/>
        <v>18400</v>
      </c>
      <c r="L123" s="751">
        <v>18400</v>
      </c>
      <c r="M123" s="752"/>
      <c r="N123" s="752"/>
      <c r="O123" s="752"/>
      <c r="P123" s="752"/>
      <c r="Q123" s="751">
        <v>18400</v>
      </c>
      <c r="R123" s="297">
        <f t="shared" si="22"/>
        <v>0</v>
      </c>
    </row>
    <row r="124" spans="1:18" s="77" customFormat="1" ht="62.4" hidden="1" x14ac:dyDescent="0.25">
      <c r="A124" s="90"/>
      <c r="B124" s="122" t="s">
        <v>140</v>
      </c>
      <c r="C124" s="98" t="s">
        <v>139</v>
      </c>
      <c r="D124" s="98" t="s">
        <v>126</v>
      </c>
      <c r="E124" s="306" t="s">
        <v>138</v>
      </c>
      <c r="F124" s="293">
        <f t="shared" si="20"/>
        <v>0</v>
      </c>
      <c r="G124" s="302"/>
      <c r="H124" s="302"/>
      <c r="I124" s="302"/>
      <c r="J124" s="301"/>
      <c r="K124" s="299">
        <f t="shared" si="6"/>
        <v>0</v>
      </c>
      <c r="L124" s="300"/>
      <c r="M124" s="301"/>
      <c r="N124" s="301"/>
      <c r="O124" s="301"/>
      <c r="P124" s="301"/>
      <c r="Q124" s="300"/>
      <c r="R124" s="297">
        <f t="shared" si="22"/>
        <v>0</v>
      </c>
    </row>
    <row r="125" spans="1:18" s="77" customFormat="1" ht="15.6" hidden="1" x14ac:dyDescent="0.25">
      <c r="A125" s="90"/>
      <c r="B125" s="122"/>
      <c r="C125" s="98"/>
      <c r="D125" s="99"/>
      <c r="E125" s="123"/>
      <c r="F125" s="293">
        <f t="shared" si="20"/>
        <v>0</v>
      </c>
      <c r="G125" s="302"/>
      <c r="H125" s="302"/>
      <c r="I125" s="302"/>
      <c r="J125" s="301"/>
      <c r="K125" s="299">
        <f t="shared" si="6"/>
        <v>0</v>
      </c>
      <c r="L125" s="300"/>
      <c r="M125" s="301"/>
      <c r="N125" s="301"/>
      <c r="O125" s="301"/>
      <c r="P125" s="301"/>
      <c r="Q125" s="300"/>
      <c r="R125" s="297">
        <f t="shared" si="22"/>
        <v>0</v>
      </c>
    </row>
    <row r="126" spans="1:18" s="74" customFormat="1" ht="15.6" hidden="1" x14ac:dyDescent="0.25">
      <c r="A126" s="71"/>
      <c r="B126" s="104"/>
      <c r="C126" s="719"/>
      <c r="D126" s="719"/>
      <c r="E126" s="307"/>
      <c r="F126" s="308">
        <f t="shared" si="20"/>
        <v>0</v>
      </c>
      <c r="G126" s="302"/>
      <c r="H126" s="302"/>
      <c r="I126" s="302"/>
      <c r="J126" s="300"/>
      <c r="K126" s="309">
        <f t="shared" si="6"/>
        <v>0</v>
      </c>
      <c r="L126" s="300"/>
      <c r="M126" s="300"/>
      <c r="N126" s="300"/>
      <c r="O126" s="300"/>
      <c r="P126" s="300"/>
      <c r="Q126" s="300"/>
      <c r="R126" s="297">
        <f t="shared" si="22"/>
        <v>0</v>
      </c>
    </row>
    <row r="127" spans="1:18" s="74" customFormat="1" ht="78" hidden="1" x14ac:dyDescent="0.25">
      <c r="A127" s="71"/>
      <c r="B127" s="104" t="s">
        <v>134</v>
      </c>
      <c r="C127" s="719" t="s">
        <v>133</v>
      </c>
      <c r="D127" s="719" t="s">
        <v>126</v>
      </c>
      <c r="E127" s="307" t="s">
        <v>132</v>
      </c>
      <c r="F127" s="308">
        <f t="shared" si="20"/>
        <v>0</v>
      </c>
      <c r="G127" s="302"/>
      <c r="H127" s="302"/>
      <c r="I127" s="302"/>
      <c r="J127" s="300"/>
      <c r="K127" s="309">
        <f t="shared" si="6"/>
        <v>0</v>
      </c>
      <c r="L127" s="302"/>
      <c r="M127" s="300"/>
      <c r="N127" s="300"/>
      <c r="O127" s="300"/>
      <c r="P127" s="300"/>
      <c r="Q127" s="302"/>
      <c r="R127" s="297">
        <f t="shared" si="22"/>
        <v>0</v>
      </c>
    </row>
    <row r="128" spans="1:18" s="74" customFormat="1" ht="62.4" hidden="1" x14ac:dyDescent="0.25">
      <c r="A128" s="71"/>
      <c r="B128" s="122" t="s">
        <v>511</v>
      </c>
      <c r="C128" s="98" t="s">
        <v>512</v>
      </c>
      <c r="D128" s="99" t="s">
        <v>126</v>
      </c>
      <c r="E128" s="123" t="s">
        <v>513</v>
      </c>
      <c r="F128" s="308">
        <f t="shared" si="20"/>
        <v>0</v>
      </c>
      <c r="G128" s="302"/>
      <c r="H128" s="302"/>
      <c r="I128" s="302"/>
      <c r="J128" s="300"/>
      <c r="K128" s="309">
        <f t="shared" si="6"/>
        <v>0</v>
      </c>
      <c r="L128" s="302"/>
      <c r="M128" s="300"/>
      <c r="N128" s="300"/>
      <c r="O128" s="300"/>
      <c r="P128" s="300"/>
      <c r="Q128" s="302"/>
      <c r="R128" s="297">
        <f t="shared" si="22"/>
        <v>0</v>
      </c>
    </row>
    <row r="129" spans="1:18" s="74" customFormat="1" ht="93.6" hidden="1" x14ac:dyDescent="0.25">
      <c r="A129" s="71"/>
      <c r="B129" s="122" t="s">
        <v>1119</v>
      </c>
      <c r="C129" s="98" t="s">
        <v>1121</v>
      </c>
      <c r="D129" s="99" t="s">
        <v>126</v>
      </c>
      <c r="E129" s="306" t="s">
        <v>1118</v>
      </c>
      <c r="F129" s="308">
        <f t="shared" si="20"/>
        <v>0</v>
      </c>
      <c r="G129" s="302"/>
      <c r="H129" s="302"/>
      <c r="I129" s="302"/>
      <c r="J129" s="300"/>
      <c r="K129" s="309">
        <f t="shared" si="6"/>
        <v>0</v>
      </c>
      <c r="L129" s="302"/>
      <c r="M129" s="300"/>
      <c r="N129" s="300"/>
      <c r="O129" s="300"/>
      <c r="P129" s="300"/>
      <c r="Q129" s="302"/>
      <c r="R129" s="297">
        <f t="shared" si="22"/>
        <v>0</v>
      </c>
    </row>
    <row r="130" spans="1:18" s="74" customFormat="1" ht="78" hidden="1" x14ac:dyDescent="0.25">
      <c r="A130" s="71"/>
      <c r="B130" s="122" t="s">
        <v>1120</v>
      </c>
      <c r="C130" s="98" t="s">
        <v>1122</v>
      </c>
      <c r="D130" s="99" t="s">
        <v>126</v>
      </c>
      <c r="E130" s="306" t="s">
        <v>1123</v>
      </c>
      <c r="F130" s="308">
        <f t="shared" si="20"/>
        <v>0</v>
      </c>
      <c r="G130" s="302"/>
      <c r="H130" s="302"/>
      <c r="I130" s="302"/>
      <c r="J130" s="300"/>
      <c r="K130" s="309">
        <f>N130+Q130</f>
        <v>0</v>
      </c>
      <c r="L130" s="302"/>
      <c r="M130" s="300"/>
      <c r="N130" s="300"/>
      <c r="O130" s="300"/>
      <c r="P130" s="300"/>
      <c r="Q130" s="302"/>
      <c r="R130" s="297">
        <f t="shared" si="22"/>
        <v>0</v>
      </c>
    </row>
    <row r="131" spans="1:18" s="74" customFormat="1" ht="55.95" hidden="1" customHeight="1" x14ac:dyDescent="0.25">
      <c r="A131" s="71"/>
      <c r="B131" s="104" t="s">
        <v>131</v>
      </c>
      <c r="C131" s="719" t="s">
        <v>130</v>
      </c>
      <c r="D131" s="719" t="s">
        <v>126</v>
      </c>
      <c r="E131" s="307" t="s">
        <v>129</v>
      </c>
      <c r="F131" s="308">
        <f t="shared" si="20"/>
        <v>0</v>
      </c>
      <c r="G131" s="302"/>
      <c r="H131" s="302"/>
      <c r="I131" s="302"/>
      <c r="J131" s="300"/>
      <c r="K131" s="309">
        <f t="shared" ref="K131:K147" si="23">N131+L131</f>
        <v>0</v>
      </c>
      <c r="L131" s="300"/>
      <c r="M131" s="300"/>
      <c r="N131" s="300"/>
      <c r="O131" s="751"/>
      <c r="P131" s="300"/>
      <c r="Q131" s="300"/>
      <c r="R131" s="297">
        <f t="shared" si="22"/>
        <v>0</v>
      </c>
    </row>
    <row r="132" spans="1:18" s="74" customFormat="1" ht="62.4" hidden="1" x14ac:dyDescent="0.25">
      <c r="A132" s="71"/>
      <c r="B132" s="104"/>
      <c r="C132" s="719"/>
      <c r="D132" s="719"/>
      <c r="E132" s="291" t="s">
        <v>497</v>
      </c>
      <c r="F132" s="308">
        <f t="shared" si="20"/>
        <v>0</v>
      </c>
      <c r="G132" s="302"/>
      <c r="H132" s="302"/>
      <c r="I132" s="300"/>
      <c r="J132" s="300"/>
      <c r="K132" s="309">
        <f t="shared" si="23"/>
        <v>0</v>
      </c>
      <c r="L132" s="300"/>
      <c r="M132" s="300"/>
      <c r="N132" s="300"/>
      <c r="O132" s="300"/>
      <c r="P132" s="300"/>
      <c r="Q132" s="300"/>
      <c r="R132" s="297">
        <f t="shared" si="22"/>
        <v>0</v>
      </c>
    </row>
    <row r="133" spans="1:18" s="74" customFormat="1" ht="62.4" hidden="1" x14ac:dyDescent="0.25">
      <c r="A133" s="71"/>
      <c r="B133" s="104" t="s">
        <v>128</v>
      </c>
      <c r="C133" s="719" t="s">
        <v>127</v>
      </c>
      <c r="D133" s="719" t="s">
        <v>126</v>
      </c>
      <c r="E133" s="307" t="s">
        <v>125</v>
      </c>
      <c r="F133" s="308">
        <f t="shared" si="20"/>
        <v>0</v>
      </c>
      <c r="G133" s="706"/>
      <c r="H133" s="300"/>
      <c r="I133" s="300"/>
      <c r="J133" s="300"/>
      <c r="K133" s="309">
        <f t="shared" si="23"/>
        <v>0</v>
      </c>
      <c r="L133" s="300"/>
      <c r="M133" s="300"/>
      <c r="N133" s="300"/>
      <c r="O133" s="300"/>
      <c r="P133" s="300"/>
      <c r="Q133" s="300"/>
      <c r="R133" s="297">
        <f t="shared" si="22"/>
        <v>0</v>
      </c>
    </row>
    <row r="134" spans="1:18" s="74" customFormat="1" ht="67.95" hidden="1" customHeight="1" x14ac:dyDescent="0.25">
      <c r="A134" s="71"/>
      <c r="B134" s="104"/>
      <c r="C134" s="719"/>
      <c r="D134" s="719"/>
      <c r="E134" s="249" t="s">
        <v>713</v>
      </c>
      <c r="F134" s="308">
        <f>G134+J134</f>
        <v>0</v>
      </c>
      <c r="G134" s="706"/>
      <c r="H134" s="300"/>
      <c r="I134" s="300"/>
      <c r="J134" s="300"/>
      <c r="K134" s="309">
        <f t="shared" si="23"/>
        <v>0</v>
      </c>
      <c r="L134" s="300"/>
      <c r="M134" s="300"/>
      <c r="N134" s="300"/>
      <c r="O134" s="300"/>
      <c r="P134" s="300"/>
      <c r="Q134" s="300"/>
      <c r="R134" s="297">
        <f t="shared" si="22"/>
        <v>0</v>
      </c>
    </row>
    <row r="135" spans="1:18" s="74" customFormat="1" ht="67.95" hidden="1" customHeight="1" x14ac:dyDescent="0.25">
      <c r="A135" s="71"/>
      <c r="B135" s="104" t="s">
        <v>714</v>
      </c>
      <c r="C135" s="719" t="s">
        <v>715</v>
      </c>
      <c r="D135" s="719" t="s">
        <v>126</v>
      </c>
      <c r="E135" s="249" t="s">
        <v>716</v>
      </c>
      <c r="F135" s="308">
        <f t="shared" si="20"/>
        <v>0</v>
      </c>
      <c r="G135" s="706"/>
      <c r="H135" s="300"/>
      <c r="I135" s="300"/>
      <c r="J135" s="300"/>
      <c r="K135" s="309">
        <f t="shared" si="23"/>
        <v>0</v>
      </c>
      <c r="L135" s="300"/>
      <c r="M135" s="300"/>
      <c r="N135" s="300"/>
      <c r="O135" s="300"/>
      <c r="P135" s="300"/>
      <c r="Q135" s="300"/>
      <c r="R135" s="297">
        <f t="shared" si="22"/>
        <v>0</v>
      </c>
    </row>
    <row r="136" spans="1:18" s="74" customFormat="1" ht="46.5" hidden="1" customHeight="1" x14ac:dyDescent="0.25">
      <c r="A136" s="71"/>
      <c r="B136" s="104" t="s">
        <v>717</v>
      </c>
      <c r="C136" s="719" t="s">
        <v>718</v>
      </c>
      <c r="D136" s="719" t="s">
        <v>126</v>
      </c>
      <c r="E136" s="249" t="s">
        <v>719</v>
      </c>
      <c r="F136" s="308">
        <f t="shared" si="20"/>
        <v>0</v>
      </c>
      <c r="G136" s="706"/>
      <c r="H136" s="300"/>
      <c r="I136" s="300"/>
      <c r="J136" s="300"/>
      <c r="K136" s="309">
        <f t="shared" si="23"/>
        <v>0</v>
      </c>
      <c r="L136" s="300"/>
      <c r="M136" s="300"/>
      <c r="N136" s="300"/>
      <c r="O136" s="300"/>
      <c r="P136" s="300"/>
      <c r="Q136" s="300"/>
      <c r="R136" s="297">
        <f t="shared" si="22"/>
        <v>0</v>
      </c>
    </row>
    <row r="137" spans="1:18" s="74" customFormat="1" ht="117" hidden="1" customHeight="1" x14ac:dyDescent="0.25">
      <c r="A137" s="71"/>
      <c r="B137" s="104" t="s">
        <v>858</v>
      </c>
      <c r="C137" s="719" t="s">
        <v>859</v>
      </c>
      <c r="D137" s="719" t="s">
        <v>126</v>
      </c>
      <c r="E137" s="249" t="s">
        <v>860</v>
      </c>
      <c r="F137" s="421">
        <f t="shared" si="20"/>
        <v>0</v>
      </c>
      <c r="G137" s="706"/>
      <c r="H137" s="300"/>
      <c r="I137" s="300"/>
      <c r="J137" s="300"/>
      <c r="K137" s="299">
        <f t="shared" si="23"/>
        <v>0</v>
      </c>
      <c r="L137" s="706"/>
      <c r="M137" s="300"/>
      <c r="N137" s="300"/>
      <c r="O137" s="300"/>
      <c r="P137" s="300"/>
      <c r="Q137" s="706"/>
      <c r="R137" s="297">
        <f t="shared" si="22"/>
        <v>0</v>
      </c>
    </row>
    <row r="138" spans="1:18" s="74" customFormat="1" ht="96.6" hidden="1" customHeight="1" x14ac:dyDescent="0.25">
      <c r="A138" s="71"/>
      <c r="B138" s="104" t="s">
        <v>855</v>
      </c>
      <c r="C138" s="719" t="s">
        <v>854</v>
      </c>
      <c r="D138" s="719" t="s">
        <v>126</v>
      </c>
      <c r="E138" s="306" t="s">
        <v>856</v>
      </c>
      <c r="F138" s="421">
        <f t="shared" si="20"/>
        <v>0</v>
      </c>
      <c r="G138" s="706"/>
      <c r="H138" s="300"/>
      <c r="I138" s="300"/>
      <c r="J138" s="300"/>
      <c r="K138" s="1073">
        <f>Q138+N138</f>
        <v>0</v>
      </c>
      <c r="L138" s="300"/>
      <c r="M138" s="300"/>
      <c r="N138" s="300"/>
      <c r="O138" s="300"/>
      <c r="P138" s="300"/>
      <c r="Q138" s="300"/>
      <c r="R138" s="297">
        <f t="shared" si="22"/>
        <v>0</v>
      </c>
    </row>
    <row r="139" spans="1:18" s="74" customFormat="1" ht="63" hidden="1" customHeight="1" x14ac:dyDescent="0.25">
      <c r="A139" s="71"/>
      <c r="B139" s="104" t="s">
        <v>999</v>
      </c>
      <c r="C139" s="719" t="s">
        <v>998</v>
      </c>
      <c r="D139" s="719" t="s">
        <v>126</v>
      </c>
      <c r="E139" s="306" t="s">
        <v>997</v>
      </c>
      <c r="F139" s="421">
        <f t="shared" si="20"/>
        <v>0</v>
      </c>
      <c r="G139" s="302"/>
      <c r="H139" s="300"/>
      <c r="I139" s="300"/>
      <c r="J139" s="300"/>
      <c r="K139" s="309">
        <f>N139</f>
        <v>0</v>
      </c>
      <c r="L139" s="300"/>
      <c r="M139" s="300"/>
      <c r="N139" s="300"/>
      <c r="O139" s="300"/>
      <c r="P139" s="300"/>
      <c r="Q139" s="300"/>
      <c r="R139" s="297">
        <f t="shared" si="22"/>
        <v>0</v>
      </c>
    </row>
    <row r="140" spans="1:18" s="74" customFormat="1" ht="16.2" hidden="1" thickBot="1" x14ac:dyDescent="0.3">
      <c r="A140" s="71"/>
      <c r="B140" s="326" t="s">
        <v>1384</v>
      </c>
      <c r="C140" s="719" t="s">
        <v>1399</v>
      </c>
      <c r="D140" s="719" t="s">
        <v>126</v>
      </c>
      <c r="E140" s="249" t="s">
        <v>1400</v>
      </c>
      <c r="F140" s="421">
        <f t="shared" si="20"/>
        <v>0</v>
      </c>
      <c r="G140" s="706"/>
      <c r="H140" s="300"/>
      <c r="I140" s="300"/>
      <c r="J140" s="300"/>
      <c r="K140" s="309">
        <f t="shared" si="23"/>
        <v>0</v>
      </c>
      <c r="L140" s="300"/>
      <c r="M140" s="300"/>
      <c r="N140" s="300"/>
      <c r="O140" s="300"/>
      <c r="P140" s="300"/>
      <c r="Q140" s="300"/>
      <c r="R140" s="290">
        <f t="shared" ref="R140:R207" si="24">F140+K140</f>
        <v>0</v>
      </c>
    </row>
    <row r="141" spans="1:18" s="74" customFormat="1" ht="62.4" hidden="1" x14ac:dyDescent="0.25">
      <c r="A141" s="71"/>
      <c r="B141" s="326" t="s">
        <v>1113</v>
      </c>
      <c r="C141" s="719" t="s">
        <v>1114</v>
      </c>
      <c r="D141" s="719" t="s">
        <v>126</v>
      </c>
      <c r="E141" s="249" t="s">
        <v>1124</v>
      </c>
      <c r="F141" s="421">
        <f t="shared" si="20"/>
        <v>0</v>
      </c>
      <c r="G141" s="706"/>
      <c r="H141" s="300"/>
      <c r="I141" s="300"/>
      <c r="J141" s="300"/>
      <c r="K141" s="309">
        <f t="shared" si="23"/>
        <v>0</v>
      </c>
      <c r="L141" s="300"/>
      <c r="M141" s="300"/>
      <c r="N141" s="300"/>
      <c r="O141" s="300"/>
      <c r="P141" s="300"/>
      <c r="Q141" s="300"/>
      <c r="R141" s="290">
        <f>F141+K141</f>
        <v>0</v>
      </c>
    </row>
    <row r="142" spans="1:18" s="74" customFormat="1" ht="46.95" hidden="1" customHeight="1" x14ac:dyDescent="0.25">
      <c r="A142" s="71"/>
      <c r="B142" s="326" t="s">
        <v>720</v>
      </c>
      <c r="C142" s="719" t="s">
        <v>194</v>
      </c>
      <c r="D142" s="719" t="s">
        <v>53</v>
      </c>
      <c r="E142" s="249" t="s">
        <v>52</v>
      </c>
      <c r="F142" s="309">
        <f>G142+J142</f>
        <v>0</v>
      </c>
      <c r="G142" s="300"/>
      <c r="H142" s="300"/>
      <c r="I142" s="300"/>
      <c r="J142" s="300"/>
      <c r="K142" s="309">
        <f t="shared" si="23"/>
        <v>0</v>
      </c>
      <c r="L142" s="300"/>
      <c r="M142" s="300"/>
      <c r="N142" s="300"/>
      <c r="O142" s="300"/>
      <c r="P142" s="300"/>
      <c r="Q142" s="300"/>
      <c r="R142" s="290">
        <f t="shared" si="24"/>
        <v>0</v>
      </c>
    </row>
    <row r="143" spans="1:18" s="74" customFormat="1" ht="78" hidden="1" x14ac:dyDescent="0.25">
      <c r="A143" s="71"/>
      <c r="B143" s="326"/>
      <c r="C143" s="719"/>
      <c r="D143" s="719"/>
      <c r="E143" s="249" t="s">
        <v>721</v>
      </c>
      <c r="F143" s="309"/>
      <c r="G143" s="300"/>
      <c r="H143" s="300"/>
      <c r="I143" s="300"/>
      <c r="J143" s="300"/>
      <c r="K143" s="309">
        <f t="shared" si="23"/>
        <v>0</v>
      </c>
      <c r="L143" s="300"/>
      <c r="M143" s="300"/>
      <c r="N143" s="300"/>
      <c r="O143" s="300"/>
      <c r="P143" s="300"/>
      <c r="Q143" s="300"/>
      <c r="R143" s="290">
        <f t="shared" si="24"/>
        <v>0</v>
      </c>
    </row>
    <row r="144" spans="1:18" s="74" customFormat="1" ht="46.95" hidden="1" customHeight="1" x14ac:dyDescent="0.25">
      <c r="A144" s="71"/>
      <c r="B144" s="326" t="s">
        <v>722</v>
      </c>
      <c r="C144" s="719" t="s">
        <v>706</v>
      </c>
      <c r="D144" s="719" t="s">
        <v>7</v>
      </c>
      <c r="E144" s="249" t="s">
        <v>707</v>
      </c>
      <c r="F144" s="309"/>
      <c r="G144" s="300"/>
      <c r="H144" s="300"/>
      <c r="I144" s="300"/>
      <c r="J144" s="300"/>
      <c r="K144" s="309">
        <f t="shared" si="23"/>
        <v>0</v>
      </c>
      <c r="L144" s="300"/>
      <c r="M144" s="300"/>
      <c r="N144" s="300"/>
      <c r="O144" s="300"/>
      <c r="P144" s="300"/>
      <c r="Q144" s="300"/>
      <c r="R144" s="290">
        <f t="shared" si="24"/>
        <v>0</v>
      </c>
    </row>
    <row r="145" spans="1:18" s="74" customFormat="1" ht="23.4" hidden="1" customHeight="1" x14ac:dyDescent="0.25">
      <c r="A145" s="71"/>
      <c r="B145" s="326" t="s">
        <v>723</v>
      </c>
      <c r="C145" s="719" t="s">
        <v>13</v>
      </c>
      <c r="D145" s="719" t="s">
        <v>7</v>
      </c>
      <c r="E145" s="249" t="s">
        <v>12</v>
      </c>
      <c r="F145" s="309">
        <f>G145+J145</f>
        <v>0</v>
      </c>
      <c r="G145" s="300"/>
      <c r="H145" s="300"/>
      <c r="I145" s="300"/>
      <c r="J145" s="300"/>
      <c r="K145" s="309">
        <f t="shared" si="23"/>
        <v>0</v>
      </c>
      <c r="L145" s="300"/>
      <c r="M145" s="300"/>
      <c r="N145" s="300"/>
      <c r="O145" s="300"/>
      <c r="P145" s="300"/>
      <c r="Q145" s="300"/>
      <c r="R145" s="290">
        <f t="shared" si="24"/>
        <v>0</v>
      </c>
    </row>
    <row r="146" spans="1:18" s="74" customFormat="1" ht="78" hidden="1" x14ac:dyDescent="0.25">
      <c r="A146" s="71"/>
      <c r="B146" s="326"/>
      <c r="C146" s="719"/>
      <c r="D146" s="719"/>
      <c r="E146" s="249" t="s">
        <v>721</v>
      </c>
      <c r="F146" s="309"/>
      <c r="G146" s="300"/>
      <c r="H146" s="300"/>
      <c r="I146" s="300"/>
      <c r="J146" s="300"/>
      <c r="K146" s="309">
        <f t="shared" si="23"/>
        <v>0</v>
      </c>
      <c r="L146" s="300"/>
      <c r="M146" s="300"/>
      <c r="N146" s="300"/>
      <c r="O146" s="300"/>
      <c r="P146" s="300"/>
      <c r="Q146" s="300"/>
      <c r="R146" s="290">
        <f t="shared" si="24"/>
        <v>0</v>
      </c>
    </row>
    <row r="147" spans="1:18" s="74" customFormat="1" ht="16.2" hidden="1" thickBot="1" x14ac:dyDescent="0.3">
      <c r="A147" s="71"/>
      <c r="B147" s="326" t="s">
        <v>123</v>
      </c>
      <c r="C147" s="719" t="s">
        <v>122</v>
      </c>
      <c r="D147" s="719" t="s">
        <v>21</v>
      </c>
      <c r="E147" s="249" t="s">
        <v>121</v>
      </c>
      <c r="F147" s="444">
        <f>G147+J147</f>
        <v>0</v>
      </c>
      <c r="G147" s="446"/>
      <c r="H147" s="446"/>
      <c r="I147" s="446"/>
      <c r="J147" s="446"/>
      <c r="K147" s="445">
        <f t="shared" si="23"/>
        <v>0</v>
      </c>
      <c r="L147" s="446"/>
      <c r="M147" s="446"/>
      <c r="N147" s="446"/>
      <c r="O147" s="446"/>
      <c r="P147" s="446"/>
      <c r="Q147" s="446"/>
      <c r="R147" s="447">
        <f t="shared" si="24"/>
        <v>0</v>
      </c>
    </row>
    <row r="148" spans="1:18" s="77" customFormat="1" ht="31.2" x14ac:dyDescent="0.25">
      <c r="A148" s="90"/>
      <c r="B148" s="450" t="s">
        <v>119</v>
      </c>
      <c r="C148" s="371"/>
      <c r="D148" s="371"/>
      <c r="E148" s="451" t="s">
        <v>118</v>
      </c>
      <c r="F148" s="452">
        <f>F149</f>
        <v>99994</v>
      </c>
      <c r="G148" s="452">
        <f t="shared" ref="G148:Q148" si="25">G149</f>
        <v>99994</v>
      </c>
      <c r="H148" s="452">
        <f t="shared" si="25"/>
        <v>0</v>
      </c>
      <c r="I148" s="452">
        <f t="shared" si="25"/>
        <v>99994</v>
      </c>
      <c r="J148" s="452">
        <f t="shared" si="25"/>
        <v>0</v>
      </c>
      <c r="K148" s="452">
        <f t="shared" si="25"/>
        <v>0</v>
      </c>
      <c r="L148" s="452">
        <f t="shared" si="25"/>
        <v>0</v>
      </c>
      <c r="M148" s="452">
        <f t="shared" si="25"/>
        <v>0</v>
      </c>
      <c r="N148" s="452">
        <f t="shared" si="25"/>
        <v>0</v>
      </c>
      <c r="O148" s="452">
        <f t="shared" si="25"/>
        <v>0</v>
      </c>
      <c r="P148" s="452">
        <f t="shared" si="25"/>
        <v>0</v>
      </c>
      <c r="Q148" s="452">
        <f t="shared" si="25"/>
        <v>0</v>
      </c>
      <c r="R148" s="289">
        <f t="shared" si="24"/>
        <v>99994</v>
      </c>
    </row>
    <row r="149" spans="1:18" s="77" customFormat="1" ht="31.8" thickBot="1" x14ac:dyDescent="0.3">
      <c r="A149" s="90"/>
      <c r="B149" s="453" t="s">
        <v>514</v>
      </c>
      <c r="C149" s="454"/>
      <c r="D149" s="454"/>
      <c r="E149" s="455" t="s">
        <v>118</v>
      </c>
      <c r="F149" s="456">
        <f>F153+F155+F158+F160+F163+F164+F166+F172+F173+F174+F175+F180+F183+F184+F188+F189+F191+F186+F181+F178+F176+F169+F168</f>
        <v>99994</v>
      </c>
      <c r="G149" s="456">
        <f>G153+G155+G158+G160+G163+G164+G166+G172+G173+G174+G175+G180+G183+G184+G188+G189+G191+G186+G181+G178+G176+G169+G168</f>
        <v>99994</v>
      </c>
      <c r="H149" s="456">
        <f t="shared" ref="H149:R149" si="26">H153+H155+H158+H160+H163+H164+H166+H172+H173+H174+H175+H180+H183+H184+H188+H189+H191+H186+H181+H178+H176+H169+H168</f>
        <v>0</v>
      </c>
      <c r="I149" s="456">
        <f t="shared" si="26"/>
        <v>99994</v>
      </c>
      <c r="J149" s="456">
        <f t="shared" si="26"/>
        <v>0</v>
      </c>
      <c r="K149" s="456">
        <f t="shared" si="26"/>
        <v>0</v>
      </c>
      <c r="L149" s="456">
        <f t="shared" si="26"/>
        <v>0</v>
      </c>
      <c r="M149" s="456">
        <f t="shared" si="26"/>
        <v>0</v>
      </c>
      <c r="N149" s="456">
        <f t="shared" si="26"/>
        <v>0</v>
      </c>
      <c r="O149" s="456">
        <f t="shared" si="26"/>
        <v>0</v>
      </c>
      <c r="P149" s="456">
        <f t="shared" si="26"/>
        <v>0</v>
      </c>
      <c r="Q149" s="456">
        <f t="shared" si="26"/>
        <v>0</v>
      </c>
      <c r="R149" s="456">
        <f t="shared" si="26"/>
        <v>99994</v>
      </c>
    </row>
    <row r="150" spans="1:18" s="77" customFormat="1" ht="31.5" hidden="1" customHeight="1" x14ac:dyDescent="0.25">
      <c r="A150" s="90"/>
      <c r="B150" s="448"/>
      <c r="C150" s="449"/>
      <c r="D150" s="449"/>
      <c r="E150" s="310" t="s">
        <v>1234</v>
      </c>
      <c r="F150" s="439">
        <f t="shared" ref="F150:P150" si="27">F190</f>
        <v>0</v>
      </c>
      <c r="G150" s="439">
        <f t="shared" si="27"/>
        <v>0</v>
      </c>
      <c r="H150" s="439">
        <f t="shared" si="27"/>
        <v>0</v>
      </c>
      <c r="I150" s="439">
        <f t="shared" si="27"/>
        <v>0</v>
      </c>
      <c r="J150" s="439">
        <f t="shared" si="27"/>
        <v>0</v>
      </c>
      <c r="K150" s="439">
        <f t="shared" si="27"/>
        <v>0</v>
      </c>
      <c r="L150" s="439">
        <f t="shared" si="27"/>
        <v>0</v>
      </c>
      <c r="M150" s="439">
        <f t="shared" si="27"/>
        <v>0</v>
      </c>
      <c r="N150" s="439">
        <f t="shared" si="27"/>
        <v>0</v>
      </c>
      <c r="O150" s="439">
        <f t="shared" si="27"/>
        <v>0</v>
      </c>
      <c r="P150" s="439">
        <f t="shared" si="27"/>
        <v>0</v>
      </c>
      <c r="Q150" s="439">
        <f>Q190</f>
        <v>0</v>
      </c>
      <c r="R150" s="1262">
        <f>R190</f>
        <v>0</v>
      </c>
    </row>
    <row r="151" spans="1:18" s="77" customFormat="1" ht="31.2" x14ac:dyDescent="0.25">
      <c r="A151" s="90"/>
      <c r="B151" s="104"/>
      <c r="C151" s="719"/>
      <c r="D151" s="719"/>
      <c r="E151" s="310" t="s">
        <v>518</v>
      </c>
      <c r="F151" s="309">
        <f>F159+F156</f>
        <v>0</v>
      </c>
      <c r="G151" s="309">
        <f>G159+G156</f>
        <v>0</v>
      </c>
      <c r="H151" s="309">
        <f t="shared" ref="H151:R151" si="28">H159+H156</f>
        <v>0</v>
      </c>
      <c r="I151" s="309">
        <f t="shared" si="28"/>
        <v>0</v>
      </c>
      <c r="J151" s="309">
        <f t="shared" si="28"/>
        <v>0</v>
      </c>
      <c r="K151" s="309">
        <f t="shared" si="28"/>
        <v>0</v>
      </c>
      <c r="L151" s="309">
        <f t="shared" si="28"/>
        <v>0</v>
      </c>
      <c r="M151" s="309">
        <f t="shared" si="28"/>
        <v>0</v>
      </c>
      <c r="N151" s="309">
        <f t="shared" si="28"/>
        <v>0</v>
      </c>
      <c r="O151" s="309">
        <f t="shared" si="28"/>
        <v>0</v>
      </c>
      <c r="P151" s="309">
        <f t="shared" si="28"/>
        <v>0</v>
      </c>
      <c r="Q151" s="309">
        <f t="shared" si="28"/>
        <v>0</v>
      </c>
      <c r="R151" s="1263">
        <f t="shared" si="28"/>
        <v>0</v>
      </c>
    </row>
    <row r="152" spans="1:18" s="77" customFormat="1" ht="15.6" x14ac:dyDescent="0.25">
      <c r="A152" s="90"/>
      <c r="B152" s="104"/>
      <c r="C152" s="719"/>
      <c r="D152" s="719"/>
      <c r="E152" s="312" t="s">
        <v>1334</v>
      </c>
      <c r="F152" s="1126">
        <f>F182+F154</f>
        <v>99994</v>
      </c>
      <c r="G152" s="1126">
        <f t="shared" ref="G152:R152" si="29">G182+G154</f>
        <v>99994</v>
      </c>
      <c r="H152" s="1126">
        <f t="shared" si="29"/>
        <v>0</v>
      </c>
      <c r="I152" s="1126">
        <f t="shared" si="29"/>
        <v>99994</v>
      </c>
      <c r="J152" s="1126">
        <f t="shared" si="29"/>
        <v>0</v>
      </c>
      <c r="K152" s="1126">
        <f t="shared" si="29"/>
        <v>0</v>
      </c>
      <c r="L152" s="1126">
        <f t="shared" si="29"/>
        <v>0</v>
      </c>
      <c r="M152" s="1126">
        <f t="shared" si="29"/>
        <v>0</v>
      </c>
      <c r="N152" s="1126">
        <f t="shared" si="29"/>
        <v>0</v>
      </c>
      <c r="O152" s="1126">
        <f t="shared" si="29"/>
        <v>0</v>
      </c>
      <c r="P152" s="1126">
        <f t="shared" si="29"/>
        <v>0</v>
      </c>
      <c r="Q152" s="1126">
        <f t="shared" si="29"/>
        <v>0</v>
      </c>
      <c r="R152" s="1264">
        <f t="shared" si="29"/>
        <v>99994</v>
      </c>
    </row>
    <row r="153" spans="1:18" s="77" customFormat="1" ht="46.8" hidden="1" x14ac:dyDescent="0.25">
      <c r="A153" s="90"/>
      <c r="B153" s="107" t="s">
        <v>515</v>
      </c>
      <c r="C153" s="95" t="s">
        <v>44</v>
      </c>
      <c r="D153" s="95" t="s">
        <v>43</v>
      </c>
      <c r="E153" s="291" t="s">
        <v>580</v>
      </c>
      <c r="F153" s="293">
        <f t="shared" ref="F153:F183" si="30">G153+J153</f>
        <v>0</v>
      </c>
      <c r="G153" s="302"/>
      <c r="H153" s="301"/>
      <c r="I153" s="301"/>
      <c r="J153" s="301"/>
      <c r="K153" s="299">
        <f t="shared" ref="K153:K187" si="31">N153+L153</f>
        <v>0</v>
      </c>
      <c r="L153" s="300"/>
      <c r="M153" s="301"/>
      <c r="N153" s="301"/>
      <c r="O153" s="301"/>
      <c r="P153" s="301"/>
      <c r="Q153" s="301"/>
      <c r="R153" s="297">
        <f t="shared" si="24"/>
        <v>0</v>
      </c>
    </row>
    <row r="154" spans="1:18" s="77" customFormat="1" ht="15.6" hidden="1" x14ac:dyDescent="0.25">
      <c r="A154" s="90"/>
      <c r="B154" s="107"/>
      <c r="C154" s="95"/>
      <c r="D154" s="95"/>
      <c r="E154" s="291" t="s">
        <v>1167</v>
      </c>
      <c r="F154" s="293">
        <f>G154+J154</f>
        <v>0</v>
      </c>
      <c r="G154" s="302"/>
      <c r="H154" s="301"/>
      <c r="I154" s="301"/>
      <c r="J154" s="301"/>
      <c r="K154" s="299">
        <f>N154+L154</f>
        <v>0</v>
      </c>
      <c r="L154" s="300"/>
      <c r="M154" s="301"/>
      <c r="N154" s="301"/>
      <c r="O154" s="301"/>
      <c r="P154" s="301"/>
      <c r="Q154" s="301"/>
      <c r="R154" s="297">
        <f>F154+K154</f>
        <v>0</v>
      </c>
    </row>
    <row r="155" spans="1:18" s="77" customFormat="1" ht="31.2" x14ac:dyDescent="0.25">
      <c r="A155" s="90"/>
      <c r="B155" s="104" t="s">
        <v>115</v>
      </c>
      <c r="C155" s="719" t="s">
        <v>114</v>
      </c>
      <c r="D155" s="719" t="s">
        <v>113</v>
      </c>
      <c r="E155" s="307" t="s">
        <v>112</v>
      </c>
      <c r="F155" s="299">
        <f t="shared" si="30"/>
        <v>1000000</v>
      </c>
      <c r="G155" s="302">
        <v>1000000</v>
      </c>
      <c r="H155" s="300"/>
      <c r="I155" s="301"/>
      <c r="J155" s="301"/>
      <c r="K155" s="299">
        <f t="shared" si="31"/>
        <v>0</v>
      </c>
      <c r="L155" s="302"/>
      <c r="M155" s="301"/>
      <c r="N155" s="301"/>
      <c r="O155" s="301"/>
      <c r="P155" s="302"/>
      <c r="Q155" s="302"/>
      <c r="R155" s="297">
        <f t="shared" si="24"/>
        <v>1000000</v>
      </c>
    </row>
    <row r="156" spans="1:18" s="77" customFormat="1" ht="31.2" hidden="1" x14ac:dyDescent="0.25">
      <c r="A156" s="90"/>
      <c r="B156" s="104"/>
      <c r="C156" s="719"/>
      <c r="D156" s="719"/>
      <c r="E156" s="307" t="s">
        <v>105</v>
      </c>
      <c r="F156" s="299">
        <f t="shared" si="30"/>
        <v>0</v>
      </c>
      <c r="G156" s="302"/>
      <c r="H156" s="300"/>
      <c r="I156" s="301"/>
      <c r="J156" s="301"/>
      <c r="K156" s="299">
        <f t="shared" si="31"/>
        <v>0</v>
      </c>
      <c r="L156" s="300"/>
      <c r="M156" s="301"/>
      <c r="N156" s="301"/>
      <c r="O156" s="301"/>
      <c r="P156" s="301"/>
      <c r="Q156" s="301"/>
      <c r="R156" s="297">
        <f t="shared" si="24"/>
        <v>0</v>
      </c>
    </row>
    <row r="157" spans="1:18" s="77" customFormat="1" ht="78" hidden="1" x14ac:dyDescent="0.25">
      <c r="A157" s="90"/>
      <c r="B157" s="104"/>
      <c r="C157" s="719"/>
      <c r="D157" s="719"/>
      <c r="E157" s="125" t="s">
        <v>721</v>
      </c>
      <c r="F157" s="758"/>
      <c r="G157" s="759"/>
      <c r="H157" s="300"/>
      <c r="I157" s="301"/>
      <c r="J157" s="301"/>
      <c r="K157" s="299">
        <f>L157+J157</f>
        <v>0</v>
      </c>
      <c r="L157" s="302"/>
      <c r="M157" s="301"/>
      <c r="N157" s="301"/>
      <c r="O157" s="301"/>
      <c r="P157" s="301"/>
      <c r="Q157" s="300"/>
      <c r="R157" s="297"/>
    </row>
    <row r="158" spans="1:18" s="77" customFormat="1" ht="46.8" hidden="1" x14ac:dyDescent="0.25">
      <c r="A158" s="90"/>
      <c r="B158" s="104" t="s">
        <v>110</v>
      </c>
      <c r="C158" s="719" t="s">
        <v>109</v>
      </c>
      <c r="D158" s="719" t="s">
        <v>108</v>
      </c>
      <c r="E158" s="307" t="s">
        <v>107</v>
      </c>
      <c r="F158" s="299">
        <f t="shared" si="30"/>
        <v>0</v>
      </c>
      <c r="G158" s="302"/>
      <c r="H158" s="300"/>
      <c r="I158" s="301"/>
      <c r="J158" s="301"/>
      <c r="K158" s="299">
        <f t="shared" si="31"/>
        <v>0</v>
      </c>
      <c r="L158" s="300"/>
      <c r="M158" s="301"/>
      <c r="N158" s="301"/>
      <c r="O158" s="301"/>
      <c r="P158" s="301"/>
      <c r="Q158" s="300"/>
      <c r="R158" s="297">
        <f t="shared" si="24"/>
        <v>0</v>
      </c>
    </row>
    <row r="159" spans="1:18" s="77" customFormat="1" ht="28.95" hidden="1" customHeight="1" x14ac:dyDescent="0.25">
      <c r="A159" s="90"/>
      <c r="B159" s="104"/>
      <c r="C159" s="719"/>
      <c r="D159" s="719"/>
      <c r="E159" s="307" t="s">
        <v>105</v>
      </c>
      <c r="F159" s="299">
        <f>G159+J159</f>
        <v>0</v>
      </c>
      <c r="G159" s="302"/>
      <c r="H159" s="300"/>
      <c r="I159" s="301"/>
      <c r="J159" s="301"/>
      <c r="K159" s="299">
        <f t="shared" si="31"/>
        <v>0</v>
      </c>
      <c r="L159" s="300"/>
      <c r="M159" s="301"/>
      <c r="N159" s="301"/>
      <c r="O159" s="301"/>
      <c r="P159" s="301"/>
      <c r="Q159" s="300"/>
      <c r="R159" s="297">
        <f t="shared" si="24"/>
        <v>0</v>
      </c>
    </row>
    <row r="160" spans="1:18" s="77" customFormat="1" ht="28.95" hidden="1" customHeight="1" x14ac:dyDescent="0.25">
      <c r="A160" s="90"/>
      <c r="B160" s="104" t="s">
        <v>103</v>
      </c>
      <c r="C160" s="719" t="s">
        <v>102</v>
      </c>
      <c r="D160" s="719" t="s">
        <v>101</v>
      </c>
      <c r="E160" s="307" t="s">
        <v>100</v>
      </c>
      <c r="F160" s="293">
        <f t="shared" si="30"/>
        <v>0</v>
      </c>
      <c r="G160" s="302"/>
      <c r="H160" s="300"/>
      <c r="I160" s="301"/>
      <c r="J160" s="301"/>
      <c r="K160" s="299">
        <f t="shared" si="31"/>
        <v>0</v>
      </c>
      <c r="L160" s="300"/>
      <c r="M160" s="301"/>
      <c r="N160" s="301"/>
      <c r="O160" s="301"/>
      <c r="P160" s="301"/>
      <c r="Q160" s="301"/>
      <c r="R160" s="297">
        <f t="shared" si="24"/>
        <v>0</v>
      </c>
    </row>
    <row r="161" spans="1:18" s="77" customFormat="1" ht="28.95" hidden="1" customHeight="1" x14ac:dyDescent="0.25">
      <c r="A161" s="90"/>
      <c r="B161" s="104"/>
      <c r="C161" s="719"/>
      <c r="D161" s="719"/>
      <c r="E161" s="307" t="s">
        <v>99</v>
      </c>
      <c r="F161" s="293">
        <f t="shared" si="30"/>
        <v>0</v>
      </c>
      <c r="G161" s="302"/>
      <c r="H161" s="300"/>
      <c r="I161" s="301"/>
      <c r="J161" s="301"/>
      <c r="K161" s="299">
        <f t="shared" si="31"/>
        <v>0</v>
      </c>
      <c r="L161" s="300"/>
      <c r="M161" s="301"/>
      <c r="N161" s="301"/>
      <c r="O161" s="301"/>
      <c r="P161" s="301"/>
      <c r="Q161" s="301"/>
      <c r="R161" s="297">
        <f t="shared" si="24"/>
        <v>0</v>
      </c>
    </row>
    <row r="162" spans="1:18" s="77" customFormat="1" ht="28.95" hidden="1" customHeight="1" x14ac:dyDescent="0.25">
      <c r="A162" s="90"/>
      <c r="B162" s="104"/>
      <c r="C162" s="719"/>
      <c r="D162" s="719"/>
      <c r="E162" s="307" t="s">
        <v>98</v>
      </c>
      <c r="F162" s="293">
        <f t="shared" si="30"/>
        <v>0</v>
      </c>
      <c r="G162" s="302"/>
      <c r="H162" s="300"/>
      <c r="I162" s="301"/>
      <c r="J162" s="301"/>
      <c r="K162" s="299">
        <f t="shared" si="31"/>
        <v>0</v>
      </c>
      <c r="L162" s="300"/>
      <c r="M162" s="301"/>
      <c r="N162" s="301"/>
      <c r="O162" s="301"/>
      <c r="P162" s="301"/>
      <c r="Q162" s="301"/>
      <c r="R162" s="297">
        <f t="shared" si="24"/>
        <v>0</v>
      </c>
    </row>
    <row r="163" spans="1:18" s="77" customFormat="1" ht="28.95" hidden="1" customHeight="1" x14ac:dyDescent="0.25">
      <c r="A163" s="90"/>
      <c r="B163" s="104" t="s">
        <v>97</v>
      </c>
      <c r="C163" s="719" t="s">
        <v>96</v>
      </c>
      <c r="D163" s="719" t="s">
        <v>95</v>
      </c>
      <c r="E163" s="307" t="s">
        <v>449</v>
      </c>
      <c r="F163" s="308">
        <f t="shared" si="30"/>
        <v>0</v>
      </c>
      <c r="G163" s="302"/>
      <c r="H163" s="300"/>
      <c r="I163" s="301"/>
      <c r="J163" s="301"/>
      <c r="K163" s="299">
        <f t="shared" si="31"/>
        <v>0</v>
      </c>
      <c r="L163" s="300"/>
      <c r="M163" s="301"/>
      <c r="N163" s="301"/>
      <c r="O163" s="301"/>
      <c r="P163" s="301"/>
      <c r="Q163" s="301"/>
      <c r="R163" s="297">
        <f t="shared" si="24"/>
        <v>0</v>
      </c>
    </row>
    <row r="164" spans="1:18" s="77" customFormat="1" ht="28.95" hidden="1" customHeight="1" x14ac:dyDescent="0.25">
      <c r="A164" s="90"/>
      <c r="B164" s="104" t="s">
        <v>92</v>
      </c>
      <c r="C164" s="719" t="s">
        <v>91</v>
      </c>
      <c r="D164" s="719" t="s">
        <v>90</v>
      </c>
      <c r="E164" s="307" t="s">
        <v>450</v>
      </c>
      <c r="F164" s="308">
        <f t="shared" si="30"/>
        <v>0</v>
      </c>
      <c r="G164" s="302"/>
      <c r="H164" s="300"/>
      <c r="I164" s="301"/>
      <c r="J164" s="301"/>
      <c r="K164" s="299">
        <f t="shared" si="31"/>
        <v>0</v>
      </c>
      <c r="L164" s="300"/>
      <c r="M164" s="301"/>
      <c r="N164" s="301"/>
      <c r="O164" s="301"/>
      <c r="P164" s="301"/>
      <c r="Q164" s="301"/>
      <c r="R164" s="297">
        <f t="shared" si="24"/>
        <v>0</v>
      </c>
    </row>
    <row r="165" spans="1:18" s="77" customFormat="1" ht="15.6" hidden="1" x14ac:dyDescent="0.25">
      <c r="A165" s="90"/>
      <c r="B165" s="104"/>
      <c r="C165" s="719"/>
      <c r="D165" s="719"/>
      <c r="E165" s="310"/>
      <c r="F165" s="308"/>
      <c r="G165" s="311"/>
      <c r="H165" s="300"/>
      <c r="I165" s="301"/>
      <c r="J165" s="301"/>
      <c r="K165" s="299">
        <f t="shared" si="31"/>
        <v>0</v>
      </c>
      <c r="L165" s="300"/>
      <c r="M165" s="301"/>
      <c r="N165" s="301"/>
      <c r="O165" s="301"/>
      <c r="P165" s="301"/>
      <c r="Q165" s="301"/>
      <c r="R165" s="297">
        <f t="shared" si="24"/>
        <v>0</v>
      </c>
    </row>
    <row r="166" spans="1:18" s="77" customFormat="1" ht="78" hidden="1" x14ac:dyDescent="0.25">
      <c r="A166" s="90"/>
      <c r="B166" s="104" t="s">
        <v>516</v>
      </c>
      <c r="C166" s="719" t="s">
        <v>453</v>
      </c>
      <c r="D166" s="719" t="s">
        <v>85</v>
      </c>
      <c r="E166" s="307" t="s">
        <v>1175</v>
      </c>
      <c r="F166" s="308">
        <f t="shared" si="30"/>
        <v>0</v>
      </c>
      <c r="G166" s="710"/>
      <c r="H166" s="300"/>
      <c r="I166" s="301"/>
      <c r="J166" s="301"/>
      <c r="K166" s="299">
        <f t="shared" si="31"/>
        <v>0</v>
      </c>
      <c r="L166" s="300"/>
      <c r="M166" s="301"/>
      <c r="N166" s="301"/>
      <c r="O166" s="301"/>
      <c r="P166" s="301"/>
      <c r="Q166" s="301"/>
      <c r="R166" s="297">
        <f t="shared" si="24"/>
        <v>0</v>
      </c>
    </row>
    <row r="167" spans="1:18" s="77" customFormat="1" ht="31.2" hidden="1" x14ac:dyDescent="0.25">
      <c r="A167" s="90"/>
      <c r="B167" s="104"/>
      <c r="C167" s="719"/>
      <c r="D167" s="719"/>
      <c r="E167" s="307" t="s">
        <v>49</v>
      </c>
      <c r="F167" s="308">
        <f t="shared" si="30"/>
        <v>0</v>
      </c>
      <c r="G167" s="710"/>
      <c r="H167" s="301"/>
      <c r="I167" s="301"/>
      <c r="J167" s="301"/>
      <c r="K167" s="299"/>
      <c r="L167" s="300"/>
      <c r="M167" s="301"/>
      <c r="N167" s="301"/>
      <c r="O167" s="301"/>
      <c r="P167" s="301"/>
      <c r="Q167" s="301"/>
      <c r="R167" s="297">
        <f t="shared" si="24"/>
        <v>0</v>
      </c>
    </row>
    <row r="168" spans="1:18" s="77" customFormat="1" ht="62.4" hidden="1" x14ac:dyDescent="0.25">
      <c r="A168" s="90"/>
      <c r="B168" s="104" t="s">
        <v>87</v>
      </c>
      <c r="C168" s="719" t="s">
        <v>86</v>
      </c>
      <c r="D168" s="719" t="s">
        <v>85</v>
      </c>
      <c r="E168" s="307" t="s">
        <v>84</v>
      </c>
      <c r="F168" s="308">
        <f t="shared" si="30"/>
        <v>0</v>
      </c>
      <c r="G168" s="710"/>
      <c r="H168" s="301"/>
      <c r="I168" s="301"/>
      <c r="J168" s="301"/>
      <c r="K168" s="299"/>
      <c r="L168" s="300"/>
      <c r="M168" s="301"/>
      <c r="N168" s="301"/>
      <c r="O168" s="301"/>
      <c r="P168" s="301"/>
      <c r="Q168" s="301"/>
      <c r="R168" s="297"/>
    </row>
    <row r="169" spans="1:18" s="77" customFormat="1" ht="300" hidden="1" customHeight="1" x14ac:dyDescent="0.25">
      <c r="A169" s="90"/>
      <c r="B169" s="104" t="s">
        <v>937</v>
      </c>
      <c r="C169" s="719" t="s">
        <v>938</v>
      </c>
      <c r="D169" s="719" t="s">
        <v>85</v>
      </c>
      <c r="E169" s="307" t="s">
        <v>936</v>
      </c>
      <c r="F169" s="308">
        <f>G169</f>
        <v>0</v>
      </c>
      <c r="G169" s="710"/>
      <c r="H169" s="301"/>
      <c r="I169" s="301"/>
      <c r="J169" s="301"/>
      <c r="K169" s="299">
        <f>N169+L169</f>
        <v>0</v>
      </c>
      <c r="L169" s="300"/>
      <c r="M169" s="301"/>
      <c r="N169" s="301"/>
      <c r="O169" s="301"/>
      <c r="P169" s="301"/>
      <c r="Q169" s="301"/>
      <c r="R169" s="297">
        <f t="shared" si="24"/>
        <v>0</v>
      </c>
    </row>
    <row r="170" spans="1:18" s="77" customFormat="1" ht="31.2" hidden="1" x14ac:dyDescent="0.25">
      <c r="A170" s="90"/>
      <c r="B170" s="104"/>
      <c r="C170" s="719"/>
      <c r="D170" s="719"/>
      <c r="E170" s="310" t="s">
        <v>518</v>
      </c>
      <c r="F170" s="308">
        <f>G170</f>
        <v>0</v>
      </c>
      <c r="G170" s="710"/>
      <c r="H170" s="301"/>
      <c r="I170" s="301"/>
      <c r="J170" s="301"/>
      <c r="K170" s="299">
        <f>N170+L170</f>
        <v>0</v>
      </c>
      <c r="L170" s="300"/>
      <c r="M170" s="301"/>
      <c r="N170" s="301"/>
      <c r="O170" s="301"/>
      <c r="P170" s="301"/>
      <c r="Q170" s="301"/>
      <c r="R170" s="297">
        <f t="shared" si="24"/>
        <v>0</v>
      </c>
    </row>
    <row r="171" spans="1:18" s="77" customFormat="1" ht="15.6" hidden="1" x14ac:dyDescent="0.25">
      <c r="A171" s="90"/>
      <c r="B171" s="104" t="s">
        <v>517</v>
      </c>
      <c r="C171" s="719" t="s">
        <v>230</v>
      </c>
      <c r="D171" s="719" t="s">
        <v>85</v>
      </c>
      <c r="E171" s="307" t="s">
        <v>229</v>
      </c>
      <c r="F171" s="308">
        <f t="shared" si="30"/>
        <v>0</v>
      </c>
      <c r="G171" s="302"/>
      <c r="H171" s="300"/>
      <c r="I171" s="301"/>
      <c r="J171" s="301"/>
      <c r="K171" s="299">
        <f t="shared" si="31"/>
        <v>0</v>
      </c>
      <c r="L171" s="300"/>
      <c r="M171" s="301"/>
      <c r="N171" s="301"/>
      <c r="O171" s="301"/>
      <c r="P171" s="301"/>
      <c r="Q171" s="301"/>
      <c r="R171" s="297">
        <f t="shared" si="24"/>
        <v>0</v>
      </c>
    </row>
    <row r="172" spans="1:18" s="77" customFormat="1" ht="62.4" hidden="1" x14ac:dyDescent="0.25">
      <c r="A172" s="90"/>
      <c r="B172" s="104" t="s">
        <v>87</v>
      </c>
      <c r="C172" s="719" t="s">
        <v>86</v>
      </c>
      <c r="D172" s="719" t="s">
        <v>85</v>
      </c>
      <c r="E172" s="307" t="s">
        <v>84</v>
      </c>
      <c r="F172" s="308">
        <f t="shared" si="30"/>
        <v>0</v>
      </c>
      <c r="G172" s="302"/>
      <c r="H172" s="300"/>
      <c r="I172" s="301"/>
      <c r="J172" s="301"/>
      <c r="K172" s="299">
        <f t="shared" si="31"/>
        <v>0</v>
      </c>
      <c r="L172" s="300"/>
      <c r="M172" s="301"/>
      <c r="N172" s="301"/>
      <c r="O172" s="301"/>
      <c r="P172" s="301"/>
      <c r="Q172" s="301"/>
      <c r="R172" s="297">
        <f t="shared" si="24"/>
        <v>0</v>
      </c>
    </row>
    <row r="173" spans="1:18" s="77" customFormat="1" ht="78" hidden="1" x14ac:dyDescent="0.25">
      <c r="A173" s="90"/>
      <c r="B173" s="104" t="s">
        <v>80</v>
      </c>
      <c r="C173" s="719">
        <v>3160</v>
      </c>
      <c r="D173" s="719" t="s">
        <v>78</v>
      </c>
      <c r="E173" s="307" t="s">
        <v>77</v>
      </c>
      <c r="F173" s="308">
        <f t="shared" si="30"/>
        <v>0</v>
      </c>
      <c r="G173" s="302"/>
      <c r="H173" s="300"/>
      <c r="I173" s="301"/>
      <c r="J173" s="301"/>
      <c r="K173" s="299">
        <f t="shared" si="31"/>
        <v>0</v>
      </c>
      <c r="L173" s="300"/>
      <c r="M173" s="301"/>
      <c r="N173" s="301"/>
      <c r="O173" s="301"/>
      <c r="P173" s="301"/>
      <c r="Q173" s="301"/>
      <c r="R173" s="297">
        <f t="shared" si="24"/>
        <v>0</v>
      </c>
    </row>
    <row r="174" spans="1:18" s="77" customFormat="1" ht="31.2" hidden="1" x14ac:dyDescent="0.25">
      <c r="A174" s="90"/>
      <c r="B174" s="104" t="s">
        <v>76</v>
      </c>
      <c r="C174" s="719" t="s">
        <v>75</v>
      </c>
      <c r="D174" s="719" t="s">
        <v>74</v>
      </c>
      <c r="E174" s="307" t="s">
        <v>73</v>
      </c>
      <c r="F174" s="308">
        <f t="shared" si="30"/>
        <v>0</v>
      </c>
      <c r="G174" s="302"/>
      <c r="H174" s="300"/>
      <c r="I174" s="301"/>
      <c r="J174" s="301"/>
      <c r="K174" s="299">
        <f t="shared" si="31"/>
        <v>0</v>
      </c>
      <c r="L174" s="300"/>
      <c r="M174" s="301"/>
      <c r="N174" s="301"/>
      <c r="O174" s="301"/>
      <c r="P174" s="301"/>
      <c r="Q174" s="301"/>
      <c r="R174" s="297">
        <f t="shared" si="24"/>
        <v>0</v>
      </c>
    </row>
    <row r="175" spans="1:18" s="77" customFormat="1" ht="46.8" hidden="1" x14ac:dyDescent="0.25">
      <c r="A175" s="90"/>
      <c r="B175" s="107" t="s">
        <v>72</v>
      </c>
      <c r="C175" s="95">
        <v>3192</v>
      </c>
      <c r="D175" s="95">
        <v>1030</v>
      </c>
      <c r="E175" s="291" t="s">
        <v>71</v>
      </c>
      <c r="F175" s="293">
        <f t="shared" si="30"/>
        <v>0</v>
      </c>
      <c r="G175" s="302"/>
      <c r="H175" s="300"/>
      <c r="I175" s="301"/>
      <c r="J175" s="301"/>
      <c r="K175" s="299">
        <f t="shared" si="31"/>
        <v>0</v>
      </c>
      <c r="L175" s="300"/>
      <c r="M175" s="301"/>
      <c r="N175" s="301"/>
      <c r="O175" s="301"/>
      <c r="P175" s="301"/>
      <c r="Q175" s="301"/>
      <c r="R175" s="297">
        <f t="shared" si="24"/>
        <v>0</v>
      </c>
    </row>
    <row r="176" spans="1:18" s="77" customFormat="1" ht="62.4" hidden="1" x14ac:dyDescent="0.25">
      <c r="A176" s="90"/>
      <c r="B176" s="104" t="s">
        <v>1014</v>
      </c>
      <c r="C176" s="95" t="s">
        <v>1015</v>
      </c>
      <c r="D176" s="95">
        <v>1030</v>
      </c>
      <c r="E176" s="291" t="s">
        <v>1016</v>
      </c>
      <c r="F176" s="308">
        <f>G176+J176</f>
        <v>0</v>
      </c>
      <c r="G176" s="710"/>
      <c r="H176" s="301"/>
      <c r="I176" s="301"/>
      <c r="J176" s="301"/>
      <c r="K176" s="299">
        <f>N176+L176</f>
        <v>0</v>
      </c>
      <c r="L176" s="300"/>
      <c r="M176" s="301"/>
      <c r="N176" s="301"/>
      <c r="O176" s="301"/>
      <c r="P176" s="301"/>
      <c r="Q176" s="301"/>
      <c r="R176" s="297">
        <f>F176+K176</f>
        <v>0</v>
      </c>
    </row>
    <row r="177" spans="1:18" s="77" customFormat="1" ht="31.2" hidden="1" x14ac:dyDescent="0.25">
      <c r="A177" s="90"/>
      <c r="B177" s="107"/>
      <c r="C177" s="95"/>
      <c r="D177" s="95"/>
      <c r="E177" s="307" t="s">
        <v>518</v>
      </c>
      <c r="F177" s="308">
        <f>G177+J177</f>
        <v>0</v>
      </c>
      <c r="G177" s="710"/>
      <c r="H177" s="301"/>
      <c r="I177" s="301"/>
      <c r="J177" s="301"/>
      <c r="K177" s="299"/>
      <c r="L177" s="300"/>
      <c r="M177" s="301"/>
      <c r="N177" s="301"/>
      <c r="O177" s="301"/>
      <c r="P177" s="301"/>
      <c r="Q177" s="301"/>
      <c r="R177" s="297">
        <f>F177+K177</f>
        <v>0</v>
      </c>
    </row>
    <row r="178" spans="1:18" s="77" customFormat="1" ht="304.95" hidden="1" customHeight="1" x14ac:dyDescent="0.25">
      <c r="A178" s="90"/>
      <c r="B178" s="398" t="s">
        <v>937</v>
      </c>
      <c r="C178" s="95" t="s">
        <v>938</v>
      </c>
      <c r="D178" s="95" t="s">
        <v>942</v>
      </c>
      <c r="E178" s="291" t="s">
        <v>936</v>
      </c>
      <c r="F178" s="293"/>
      <c r="G178" s="302"/>
      <c r="H178" s="300"/>
      <c r="I178" s="301"/>
      <c r="J178" s="301"/>
      <c r="K178" s="299">
        <f t="shared" si="31"/>
        <v>0</v>
      </c>
      <c r="L178" s="755"/>
      <c r="M178" s="301"/>
      <c r="N178" s="301"/>
      <c r="O178" s="301"/>
      <c r="P178" s="301"/>
      <c r="Q178" s="755"/>
      <c r="R178" s="297">
        <f t="shared" si="24"/>
        <v>0</v>
      </c>
    </row>
    <row r="179" spans="1:18" s="77" customFormat="1" ht="31.2" hidden="1" x14ac:dyDescent="0.25">
      <c r="A179" s="90"/>
      <c r="B179" s="398"/>
      <c r="C179" s="95"/>
      <c r="D179" s="95"/>
      <c r="E179" s="291" t="s">
        <v>49</v>
      </c>
      <c r="F179" s="293">
        <f t="shared" ref="F179:K179" si="32">F178</f>
        <v>0</v>
      </c>
      <c r="G179" s="311"/>
      <c r="H179" s="299"/>
      <c r="I179" s="299"/>
      <c r="J179" s="299">
        <f t="shared" si="32"/>
        <v>0</v>
      </c>
      <c r="K179" s="299">
        <f t="shared" si="32"/>
        <v>0</v>
      </c>
      <c r="L179" s="299"/>
      <c r="M179" s="299"/>
      <c r="N179" s="299"/>
      <c r="O179" s="299"/>
      <c r="P179" s="299"/>
      <c r="Q179" s="299"/>
      <c r="R179" s="297">
        <f>R178</f>
        <v>0</v>
      </c>
    </row>
    <row r="180" spans="1:18" s="77" customFormat="1" ht="46.95" hidden="1" customHeight="1" x14ac:dyDescent="0.25">
      <c r="A180" s="90"/>
      <c r="B180" s="107" t="s">
        <v>599</v>
      </c>
      <c r="C180" s="95" t="s">
        <v>600</v>
      </c>
      <c r="D180" s="95" t="s">
        <v>95</v>
      </c>
      <c r="E180" s="291" t="s">
        <v>601</v>
      </c>
      <c r="F180" s="293">
        <f t="shared" si="30"/>
        <v>0</v>
      </c>
      <c r="G180" s="302"/>
      <c r="H180" s="300"/>
      <c r="I180" s="301"/>
      <c r="J180" s="301"/>
      <c r="K180" s="299">
        <f t="shared" si="31"/>
        <v>0</v>
      </c>
      <c r="L180" s="300"/>
      <c r="M180" s="301"/>
      <c r="N180" s="301"/>
      <c r="O180" s="301"/>
      <c r="P180" s="301"/>
      <c r="Q180" s="301"/>
      <c r="R180" s="297">
        <f t="shared" si="24"/>
        <v>0</v>
      </c>
    </row>
    <row r="181" spans="1:18" s="77" customFormat="1" ht="46.8" x14ac:dyDescent="0.25">
      <c r="A181" s="90"/>
      <c r="B181" s="107" t="s">
        <v>628</v>
      </c>
      <c r="C181" s="95" t="s">
        <v>459</v>
      </c>
      <c r="D181" s="95" t="s">
        <v>63</v>
      </c>
      <c r="E181" s="291" t="s">
        <v>1176</v>
      </c>
      <c r="F181" s="293">
        <f t="shared" si="30"/>
        <v>99994</v>
      </c>
      <c r="G181" s="302">
        <v>99994</v>
      </c>
      <c r="H181" s="300"/>
      <c r="I181" s="302">
        <v>99994</v>
      </c>
      <c r="J181" s="301"/>
      <c r="K181" s="299"/>
      <c r="L181" s="300"/>
      <c r="M181" s="301"/>
      <c r="N181" s="301"/>
      <c r="O181" s="301"/>
      <c r="P181" s="301"/>
      <c r="Q181" s="301"/>
      <c r="R181" s="297">
        <f t="shared" si="24"/>
        <v>99994</v>
      </c>
    </row>
    <row r="182" spans="1:18" s="77" customFormat="1" ht="31.2" customHeight="1" x14ac:dyDescent="0.25">
      <c r="A182" s="90"/>
      <c r="B182" s="107"/>
      <c r="C182" s="95"/>
      <c r="D182" s="95"/>
      <c r="E182" s="291" t="s">
        <v>1167</v>
      </c>
      <c r="F182" s="293">
        <f t="shared" si="30"/>
        <v>99994</v>
      </c>
      <c r="G182" s="302">
        <v>99994</v>
      </c>
      <c r="H182" s="300"/>
      <c r="I182" s="302">
        <v>99994</v>
      </c>
      <c r="J182" s="301"/>
      <c r="K182" s="299"/>
      <c r="L182" s="300"/>
      <c r="M182" s="301"/>
      <c r="N182" s="301"/>
      <c r="O182" s="301"/>
      <c r="P182" s="301"/>
      <c r="Q182" s="301"/>
      <c r="R182" s="297">
        <f t="shared" si="24"/>
        <v>99994</v>
      </c>
    </row>
    <row r="183" spans="1:18" s="77" customFormat="1" ht="33.75" customHeight="1" thickBot="1" x14ac:dyDescent="0.3">
      <c r="A183" s="90"/>
      <c r="B183" s="107" t="s">
        <v>65</v>
      </c>
      <c r="C183" s="95" t="s">
        <v>64</v>
      </c>
      <c r="D183" s="95" t="s">
        <v>63</v>
      </c>
      <c r="E183" s="291" t="s">
        <v>62</v>
      </c>
      <c r="F183" s="293">
        <f t="shared" si="30"/>
        <v>-1000000</v>
      </c>
      <c r="G183" s="301">
        <v>-1000000</v>
      </c>
      <c r="H183" s="300"/>
      <c r="I183" s="301"/>
      <c r="J183" s="301"/>
      <c r="K183" s="299">
        <f t="shared" si="31"/>
        <v>0</v>
      </c>
      <c r="L183" s="300"/>
      <c r="M183" s="301"/>
      <c r="N183" s="301"/>
      <c r="O183" s="301"/>
      <c r="P183" s="301"/>
      <c r="Q183" s="301"/>
      <c r="R183" s="297">
        <f t="shared" si="24"/>
        <v>-1000000</v>
      </c>
    </row>
    <row r="184" spans="1:18" s="77" customFormat="1" ht="93.6" hidden="1" x14ac:dyDescent="0.25">
      <c r="A184" s="90"/>
      <c r="B184" s="107" t="s">
        <v>59</v>
      </c>
      <c r="C184" s="95" t="s">
        <v>58</v>
      </c>
      <c r="D184" s="95" t="s">
        <v>57</v>
      </c>
      <c r="E184" s="291" t="s">
        <v>56</v>
      </c>
      <c r="F184" s="293"/>
      <c r="G184" s="301"/>
      <c r="H184" s="301"/>
      <c r="I184" s="301"/>
      <c r="J184" s="301"/>
      <c r="K184" s="299">
        <f t="shared" si="31"/>
        <v>0</v>
      </c>
      <c r="L184" s="300"/>
      <c r="M184" s="301"/>
      <c r="N184" s="301"/>
      <c r="O184" s="301"/>
      <c r="P184" s="301"/>
      <c r="Q184" s="301"/>
      <c r="R184" s="297">
        <f t="shared" si="24"/>
        <v>0</v>
      </c>
    </row>
    <row r="185" spans="1:18" s="77" customFormat="1" ht="31.2" hidden="1" x14ac:dyDescent="0.25">
      <c r="A185" s="90"/>
      <c r="B185" s="107"/>
      <c r="C185" s="95"/>
      <c r="D185" s="95"/>
      <c r="E185" s="307" t="s">
        <v>518</v>
      </c>
      <c r="F185" s="293"/>
      <c r="G185" s="301"/>
      <c r="H185" s="301"/>
      <c r="I185" s="301"/>
      <c r="J185" s="301"/>
      <c r="K185" s="299">
        <f t="shared" si="31"/>
        <v>0</v>
      </c>
      <c r="L185" s="300"/>
      <c r="M185" s="301"/>
      <c r="N185" s="301"/>
      <c r="O185" s="301"/>
      <c r="P185" s="301"/>
      <c r="Q185" s="301"/>
      <c r="R185" s="297">
        <f t="shared" si="24"/>
        <v>0</v>
      </c>
    </row>
    <row r="186" spans="1:18" s="77" customFormat="1" ht="46.8" hidden="1" x14ac:dyDescent="0.25">
      <c r="A186" s="90"/>
      <c r="B186" s="124" t="s">
        <v>724</v>
      </c>
      <c r="C186" s="95" t="s">
        <v>194</v>
      </c>
      <c r="D186" s="95" t="s">
        <v>53</v>
      </c>
      <c r="E186" s="125" t="s">
        <v>52</v>
      </c>
      <c r="F186" s="293"/>
      <c r="G186" s="301"/>
      <c r="H186" s="301"/>
      <c r="I186" s="301"/>
      <c r="J186" s="301"/>
      <c r="K186" s="299">
        <f t="shared" si="31"/>
        <v>0</v>
      </c>
      <c r="L186" s="300"/>
      <c r="M186" s="301"/>
      <c r="N186" s="301"/>
      <c r="O186" s="301"/>
      <c r="P186" s="301"/>
      <c r="Q186" s="300"/>
      <c r="R186" s="297">
        <f t="shared" si="24"/>
        <v>0</v>
      </c>
    </row>
    <row r="187" spans="1:18" s="77" customFormat="1" ht="78" hidden="1" x14ac:dyDescent="0.25">
      <c r="A187" s="90"/>
      <c r="B187" s="124"/>
      <c r="C187" s="95"/>
      <c r="D187" s="95"/>
      <c r="E187" s="125" t="s">
        <v>721</v>
      </c>
      <c r="F187" s="293"/>
      <c r="G187" s="301"/>
      <c r="H187" s="301"/>
      <c r="I187" s="301"/>
      <c r="J187" s="301"/>
      <c r="K187" s="299">
        <f t="shared" si="31"/>
        <v>0</v>
      </c>
      <c r="L187" s="300"/>
      <c r="M187" s="301"/>
      <c r="N187" s="301"/>
      <c r="O187" s="301"/>
      <c r="P187" s="301"/>
      <c r="Q187" s="300"/>
      <c r="R187" s="297">
        <f t="shared" si="24"/>
        <v>0</v>
      </c>
    </row>
    <row r="188" spans="1:18" s="77" customFormat="1" ht="31.2" hidden="1" x14ac:dyDescent="0.25">
      <c r="A188" s="90"/>
      <c r="B188" s="327" t="s">
        <v>725</v>
      </c>
      <c r="C188" s="328">
        <v>9750</v>
      </c>
      <c r="D188" s="328" t="s">
        <v>7</v>
      </c>
      <c r="E188" s="320" t="s">
        <v>707</v>
      </c>
      <c r="F188" s="299">
        <f>G188+J188</f>
        <v>0</v>
      </c>
      <c r="G188" s="756"/>
      <c r="H188" s="756"/>
      <c r="I188" s="756"/>
      <c r="J188" s="756"/>
      <c r="K188" s="299">
        <f>N188+L188</f>
        <v>0</v>
      </c>
      <c r="L188" s="300"/>
      <c r="M188" s="301"/>
      <c r="N188" s="301"/>
      <c r="O188" s="301"/>
      <c r="P188" s="301"/>
      <c r="Q188" s="300"/>
      <c r="R188" s="297">
        <f t="shared" si="24"/>
        <v>0</v>
      </c>
    </row>
    <row r="189" spans="1:18" s="77" customFormat="1" ht="31.2" hidden="1" x14ac:dyDescent="0.25">
      <c r="A189" s="90"/>
      <c r="B189" s="104" t="s">
        <v>726</v>
      </c>
      <c r="C189" s="719" t="s">
        <v>727</v>
      </c>
      <c r="D189" s="719" t="s">
        <v>53</v>
      </c>
      <c r="E189" s="320" t="s">
        <v>728</v>
      </c>
      <c r="F189" s="293">
        <f>G189+J189</f>
        <v>0</v>
      </c>
      <c r="G189" s="756"/>
      <c r="H189" s="756"/>
      <c r="I189" s="756"/>
      <c r="J189" s="756"/>
      <c r="K189" s="299">
        <f>Q189+N189</f>
        <v>0</v>
      </c>
      <c r="L189" s="302"/>
      <c r="M189" s="301"/>
      <c r="N189" s="301"/>
      <c r="O189" s="301"/>
      <c r="P189" s="302"/>
      <c r="Q189" s="302"/>
      <c r="R189" s="297">
        <f t="shared" si="24"/>
        <v>0</v>
      </c>
    </row>
    <row r="190" spans="1:18" s="77" customFormat="1" ht="27.75" hidden="1" customHeight="1" x14ac:dyDescent="0.25">
      <c r="A190" s="90"/>
      <c r="B190" s="104"/>
      <c r="C190" s="719"/>
      <c r="D190" s="719"/>
      <c r="E190" s="320" t="s">
        <v>49</v>
      </c>
      <c r="F190" s="293">
        <f>G190+J190</f>
        <v>0</v>
      </c>
      <c r="G190" s="756"/>
      <c r="H190" s="756"/>
      <c r="I190" s="756"/>
      <c r="J190" s="756"/>
      <c r="K190" s="299">
        <f>Q190+N190</f>
        <v>0</v>
      </c>
      <c r="L190" s="300"/>
      <c r="M190" s="301"/>
      <c r="N190" s="301"/>
      <c r="O190" s="301"/>
      <c r="P190" s="301"/>
      <c r="Q190" s="300"/>
      <c r="R190" s="297">
        <f t="shared" si="24"/>
        <v>0</v>
      </c>
    </row>
    <row r="191" spans="1:18" s="77" customFormat="1" ht="16.2" hidden="1" thickBot="1" x14ac:dyDescent="0.3">
      <c r="A191" s="90"/>
      <c r="B191" s="443" t="s">
        <v>729</v>
      </c>
      <c r="C191" s="126" t="s">
        <v>13</v>
      </c>
      <c r="D191" s="126" t="s">
        <v>7</v>
      </c>
      <c r="E191" s="457" t="s">
        <v>12</v>
      </c>
      <c r="F191" s="444">
        <f>G191+J191</f>
        <v>0</v>
      </c>
      <c r="G191" s="760"/>
      <c r="H191" s="760"/>
      <c r="I191" s="760"/>
      <c r="J191" s="760"/>
      <c r="K191" s="333">
        <f>N191+L191</f>
        <v>0</v>
      </c>
      <c r="L191" s="446"/>
      <c r="M191" s="458"/>
      <c r="N191" s="458"/>
      <c r="O191" s="458"/>
      <c r="P191" s="458"/>
      <c r="Q191" s="446"/>
      <c r="R191" s="335">
        <f t="shared" si="24"/>
        <v>0</v>
      </c>
    </row>
    <row r="192" spans="1:18" s="77" customFormat="1" ht="31.2" x14ac:dyDescent="0.25">
      <c r="A192" s="90"/>
      <c r="B192" s="284" t="s">
        <v>48</v>
      </c>
      <c r="C192" s="440"/>
      <c r="D192" s="440"/>
      <c r="E192" s="461" t="s">
        <v>519</v>
      </c>
      <c r="F192" s="287">
        <f>F193</f>
        <v>188244</v>
      </c>
      <c r="G192" s="707">
        <f t="shared" ref="G192:Q192" si="33">G193</f>
        <v>188244</v>
      </c>
      <c r="H192" s="707">
        <f t="shared" si="33"/>
        <v>0</v>
      </c>
      <c r="I192" s="707">
        <f t="shared" si="33"/>
        <v>0</v>
      </c>
      <c r="J192" s="707">
        <f t="shared" si="33"/>
        <v>0</v>
      </c>
      <c r="K192" s="707">
        <f t="shared" si="33"/>
        <v>0</v>
      </c>
      <c r="L192" s="452">
        <f t="shared" si="33"/>
        <v>0</v>
      </c>
      <c r="M192" s="707">
        <f t="shared" si="33"/>
        <v>0</v>
      </c>
      <c r="N192" s="707">
        <f t="shared" si="33"/>
        <v>0</v>
      </c>
      <c r="O192" s="707">
        <f t="shared" si="33"/>
        <v>0</v>
      </c>
      <c r="P192" s="707">
        <f t="shared" si="33"/>
        <v>0</v>
      </c>
      <c r="Q192" s="707">
        <f t="shared" si="33"/>
        <v>0</v>
      </c>
      <c r="R192" s="289">
        <f t="shared" si="24"/>
        <v>188244</v>
      </c>
    </row>
    <row r="193" spans="1:18" s="77" customFormat="1" ht="31.8" thickBot="1" x14ac:dyDescent="0.3">
      <c r="A193" s="90"/>
      <c r="B193" s="433" t="s">
        <v>520</v>
      </c>
      <c r="C193" s="434"/>
      <c r="D193" s="441"/>
      <c r="E193" s="462" t="s">
        <v>519</v>
      </c>
      <c r="F193" s="442">
        <f t="shared" ref="F193:K193" si="34">F194+F195+F196+F197+F198+F199+F200+F202+F203+F201</f>
        <v>188244</v>
      </c>
      <c r="G193" s="456">
        <f t="shared" si="34"/>
        <v>188244</v>
      </c>
      <c r="H193" s="456">
        <f t="shared" si="34"/>
        <v>0</v>
      </c>
      <c r="I193" s="456">
        <f t="shared" si="34"/>
        <v>0</v>
      </c>
      <c r="J193" s="456">
        <f t="shared" si="34"/>
        <v>0</v>
      </c>
      <c r="K193" s="456">
        <f t="shared" si="34"/>
        <v>0</v>
      </c>
      <c r="L193" s="456">
        <f>L194+L195+L196+L197+L198+L199+L200+L202+L203+L201</f>
        <v>0</v>
      </c>
      <c r="M193" s="456">
        <f t="shared" ref="M193:R193" si="35">M194+M195+M196+M197+M198+M199+M200+M202+M203+M201</f>
        <v>0</v>
      </c>
      <c r="N193" s="456">
        <f t="shared" si="35"/>
        <v>0</v>
      </c>
      <c r="O193" s="456">
        <f t="shared" si="35"/>
        <v>0</v>
      </c>
      <c r="P193" s="456">
        <f t="shared" si="35"/>
        <v>0</v>
      </c>
      <c r="Q193" s="456">
        <f t="shared" si="35"/>
        <v>0</v>
      </c>
      <c r="R193" s="436">
        <f t="shared" si="35"/>
        <v>188244</v>
      </c>
    </row>
    <row r="194" spans="1:18" s="77" customFormat="1" ht="46.8" hidden="1" x14ac:dyDescent="0.25">
      <c r="A194" s="90"/>
      <c r="B194" s="459" t="s">
        <v>45</v>
      </c>
      <c r="C194" s="437" t="s">
        <v>44</v>
      </c>
      <c r="D194" s="437" t="s">
        <v>43</v>
      </c>
      <c r="E194" s="428" t="s">
        <v>580</v>
      </c>
      <c r="F194" s="423">
        <f>G194+J194</f>
        <v>0</v>
      </c>
      <c r="G194" s="460"/>
      <c r="H194" s="460"/>
      <c r="I194" s="460"/>
      <c r="J194" s="438"/>
      <c r="K194" s="438"/>
      <c r="L194" s="439"/>
      <c r="M194" s="438"/>
      <c r="N194" s="438"/>
      <c r="O194" s="438"/>
      <c r="P194" s="438"/>
      <c r="Q194" s="438"/>
      <c r="R194" s="424">
        <f t="shared" si="24"/>
        <v>0</v>
      </c>
    </row>
    <row r="195" spans="1:18" s="77" customFormat="1" ht="15.6" hidden="1" x14ac:dyDescent="0.25">
      <c r="A195" s="90"/>
      <c r="B195" s="107" t="s">
        <v>41</v>
      </c>
      <c r="C195" s="95" t="s">
        <v>40</v>
      </c>
      <c r="D195" s="95" t="s">
        <v>39</v>
      </c>
      <c r="E195" s="291" t="s">
        <v>521</v>
      </c>
      <c r="F195" s="293">
        <f t="shared" ref="F195:F203" si="36">G195+J195</f>
        <v>0</v>
      </c>
      <c r="G195" s="301"/>
      <c r="H195" s="301"/>
      <c r="I195" s="301"/>
      <c r="J195" s="301"/>
      <c r="K195" s="299">
        <f t="shared" ref="K195:K209" si="37">N195+L195</f>
        <v>0</v>
      </c>
      <c r="L195" s="300"/>
      <c r="M195" s="301"/>
      <c r="N195" s="301"/>
      <c r="O195" s="301"/>
      <c r="P195" s="301"/>
      <c r="Q195" s="301"/>
      <c r="R195" s="297">
        <f t="shared" si="24"/>
        <v>0</v>
      </c>
    </row>
    <row r="196" spans="1:18" s="77" customFormat="1" ht="15.6" hidden="1" x14ac:dyDescent="0.25">
      <c r="A196" s="90"/>
      <c r="B196" s="107" t="s">
        <v>38</v>
      </c>
      <c r="C196" s="95" t="s">
        <v>37</v>
      </c>
      <c r="D196" s="95" t="s">
        <v>36</v>
      </c>
      <c r="E196" s="291" t="s">
        <v>35</v>
      </c>
      <c r="F196" s="293">
        <f t="shared" si="36"/>
        <v>0</v>
      </c>
      <c r="G196" s="301"/>
      <c r="H196" s="301"/>
      <c r="I196" s="301"/>
      <c r="J196" s="299"/>
      <c r="K196" s="299">
        <f t="shared" si="37"/>
        <v>0</v>
      </c>
      <c r="L196" s="300"/>
      <c r="M196" s="301"/>
      <c r="N196" s="299"/>
      <c r="O196" s="299"/>
      <c r="P196" s="301"/>
      <c r="Q196" s="301"/>
      <c r="R196" s="297">
        <f t="shared" si="24"/>
        <v>0</v>
      </c>
    </row>
    <row r="197" spans="1:18" s="77" customFormat="1" ht="25.5" hidden="1" customHeight="1" x14ac:dyDescent="0.25">
      <c r="A197" s="90"/>
      <c r="B197" s="107" t="s">
        <v>522</v>
      </c>
      <c r="C197" s="95" t="s">
        <v>523</v>
      </c>
      <c r="D197" s="95" t="s">
        <v>36</v>
      </c>
      <c r="E197" s="291" t="s">
        <v>524</v>
      </c>
      <c r="F197" s="293">
        <f t="shared" si="36"/>
        <v>0</v>
      </c>
      <c r="G197" s="301"/>
      <c r="H197" s="301"/>
      <c r="I197" s="301"/>
      <c r="J197" s="299"/>
      <c r="K197" s="299">
        <f t="shared" si="37"/>
        <v>0</v>
      </c>
      <c r="L197" s="300"/>
      <c r="M197" s="301"/>
      <c r="N197" s="299"/>
      <c r="O197" s="299"/>
      <c r="P197" s="301"/>
      <c r="Q197" s="301"/>
      <c r="R197" s="297">
        <f t="shared" si="24"/>
        <v>0</v>
      </c>
    </row>
    <row r="198" spans="1:18" s="77" customFormat="1" ht="36.75" hidden="1" customHeight="1" x14ac:dyDescent="0.25">
      <c r="A198" s="90"/>
      <c r="B198" s="107" t="s">
        <v>34</v>
      </c>
      <c r="C198" s="95" t="s">
        <v>33</v>
      </c>
      <c r="D198" s="95" t="s">
        <v>32</v>
      </c>
      <c r="E198" s="291" t="s">
        <v>31</v>
      </c>
      <c r="F198" s="293">
        <f t="shared" si="36"/>
        <v>0</v>
      </c>
      <c r="G198" s="301"/>
      <c r="H198" s="301"/>
      <c r="I198" s="301"/>
      <c r="J198" s="301"/>
      <c r="K198" s="299">
        <f t="shared" si="37"/>
        <v>0</v>
      </c>
      <c r="L198" s="300"/>
      <c r="M198" s="301"/>
      <c r="N198" s="301"/>
      <c r="O198" s="301"/>
      <c r="P198" s="301"/>
      <c r="Q198" s="301"/>
      <c r="R198" s="297">
        <f t="shared" si="24"/>
        <v>0</v>
      </c>
    </row>
    <row r="199" spans="1:18" s="77" customFormat="1" ht="31.2" hidden="1" x14ac:dyDescent="0.25">
      <c r="A199" s="90"/>
      <c r="B199" s="107" t="s">
        <v>30</v>
      </c>
      <c r="C199" s="95" t="s">
        <v>29</v>
      </c>
      <c r="D199" s="95" t="s">
        <v>25</v>
      </c>
      <c r="E199" s="291" t="s">
        <v>28</v>
      </c>
      <c r="F199" s="293">
        <f t="shared" si="36"/>
        <v>0</v>
      </c>
      <c r="G199" s="301"/>
      <c r="H199" s="301"/>
      <c r="I199" s="301"/>
      <c r="J199" s="301"/>
      <c r="K199" s="299">
        <f t="shared" si="37"/>
        <v>0</v>
      </c>
      <c r="L199" s="300"/>
      <c r="M199" s="301"/>
      <c r="N199" s="301"/>
      <c r="O199" s="301"/>
      <c r="P199" s="301">
        <f>O199</f>
        <v>0</v>
      </c>
      <c r="Q199" s="301">
        <f>O199</f>
        <v>0</v>
      </c>
      <c r="R199" s="297">
        <f t="shared" si="24"/>
        <v>0</v>
      </c>
    </row>
    <row r="200" spans="1:18" s="77" customFormat="1" ht="16.2" thickBot="1" x14ac:dyDescent="0.3">
      <c r="A200" s="90"/>
      <c r="B200" s="107" t="s">
        <v>27</v>
      </c>
      <c r="C200" s="95" t="s">
        <v>26</v>
      </c>
      <c r="D200" s="95" t="s">
        <v>25</v>
      </c>
      <c r="E200" s="291" t="s">
        <v>24</v>
      </c>
      <c r="F200" s="293">
        <f t="shared" si="36"/>
        <v>188244</v>
      </c>
      <c r="G200" s="301">
        <v>188244</v>
      </c>
      <c r="H200" s="301"/>
      <c r="I200" s="301"/>
      <c r="J200" s="299"/>
      <c r="K200" s="299">
        <f t="shared" si="37"/>
        <v>0</v>
      </c>
      <c r="L200" s="309"/>
      <c r="M200" s="299"/>
      <c r="N200" s="299"/>
      <c r="O200" s="299"/>
      <c r="P200" s="299"/>
      <c r="Q200" s="299"/>
      <c r="R200" s="297">
        <f t="shared" si="24"/>
        <v>188244</v>
      </c>
    </row>
    <row r="201" spans="1:18" s="77" customFormat="1" ht="15.6" hidden="1" x14ac:dyDescent="0.25">
      <c r="A201" s="90"/>
      <c r="B201" s="107" t="s">
        <v>730</v>
      </c>
      <c r="C201" s="95" t="s">
        <v>731</v>
      </c>
      <c r="D201" s="95" t="s">
        <v>21</v>
      </c>
      <c r="E201" s="291" t="s">
        <v>732</v>
      </c>
      <c r="F201" s="293">
        <f t="shared" si="36"/>
        <v>0</v>
      </c>
      <c r="G201" s="301"/>
      <c r="H201" s="301"/>
      <c r="I201" s="301"/>
      <c r="J201" s="299"/>
      <c r="K201" s="299">
        <f t="shared" si="37"/>
        <v>0</v>
      </c>
      <c r="L201" s="300"/>
      <c r="M201" s="299"/>
      <c r="N201" s="299"/>
      <c r="O201" s="299"/>
      <c r="P201" s="299"/>
      <c r="Q201" s="300"/>
      <c r="R201" s="297">
        <f t="shared" si="24"/>
        <v>0</v>
      </c>
    </row>
    <row r="202" spans="1:18" s="77" customFormat="1" ht="31.2" hidden="1" x14ac:dyDescent="0.25">
      <c r="A202" s="90"/>
      <c r="B202" s="107" t="s">
        <v>23</v>
      </c>
      <c r="C202" s="95" t="s">
        <v>22</v>
      </c>
      <c r="D202" s="95" t="s">
        <v>21</v>
      </c>
      <c r="E202" s="291" t="s">
        <v>525</v>
      </c>
      <c r="F202" s="293">
        <f t="shared" si="36"/>
        <v>0</v>
      </c>
      <c r="G202" s="301"/>
      <c r="H202" s="301"/>
      <c r="I202" s="301"/>
      <c r="J202" s="301"/>
      <c r="K202" s="299">
        <f t="shared" si="37"/>
        <v>0</v>
      </c>
      <c r="L202" s="300"/>
      <c r="M202" s="301"/>
      <c r="N202" s="301"/>
      <c r="O202" s="301"/>
      <c r="P202" s="301"/>
      <c r="Q202" s="301"/>
      <c r="R202" s="297">
        <f t="shared" si="24"/>
        <v>0</v>
      </c>
    </row>
    <row r="203" spans="1:18" s="77" customFormat="1" ht="31.2" hidden="1" x14ac:dyDescent="0.25">
      <c r="A203" s="90"/>
      <c r="B203" s="107" t="s">
        <v>19</v>
      </c>
      <c r="C203" s="95" t="s">
        <v>18</v>
      </c>
      <c r="D203" s="95" t="s">
        <v>17</v>
      </c>
      <c r="E203" s="291" t="s">
        <v>16</v>
      </c>
      <c r="F203" s="293">
        <f t="shared" si="36"/>
        <v>0</v>
      </c>
      <c r="G203" s="301"/>
      <c r="H203" s="301"/>
      <c r="I203" s="301"/>
      <c r="J203" s="301"/>
      <c r="K203" s="299">
        <f t="shared" si="37"/>
        <v>0</v>
      </c>
      <c r="L203" s="300"/>
      <c r="M203" s="301"/>
      <c r="N203" s="301"/>
      <c r="O203" s="301"/>
      <c r="P203" s="301"/>
      <c r="Q203" s="301"/>
      <c r="R203" s="297">
        <f t="shared" si="24"/>
        <v>0</v>
      </c>
    </row>
    <row r="204" spans="1:18" s="77" customFormat="1" ht="31.2" hidden="1" x14ac:dyDescent="0.25">
      <c r="A204" s="90"/>
      <c r="B204" s="91" t="s">
        <v>526</v>
      </c>
      <c r="C204" s="92"/>
      <c r="D204" s="92"/>
      <c r="E204" s="312" t="s">
        <v>15</v>
      </c>
      <c r="F204" s="293">
        <f>F205</f>
        <v>0</v>
      </c>
      <c r="G204" s="293">
        <f t="shared" ref="G204:Q204" si="38">G205</f>
        <v>0</v>
      </c>
      <c r="H204" s="293">
        <f t="shared" si="38"/>
        <v>0</v>
      </c>
      <c r="I204" s="293">
        <f t="shared" si="38"/>
        <v>0</v>
      </c>
      <c r="J204" s="293">
        <f t="shared" si="38"/>
        <v>0</v>
      </c>
      <c r="K204" s="293">
        <f t="shared" si="38"/>
        <v>0</v>
      </c>
      <c r="L204" s="293">
        <f t="shared" si="38"/>
        <v>0</v>
      </c>
      <c r="M204" s="293">
        <f t="shared" si="38"/>
        <v>0</v>
      </c>
      <c r="N204" s="293">
        <f t="shared" si="38"/>
        <v>0</v>
      </c>
      <c r="O204" s="293">
        <f t="shared" si="38"/>
        <v>0</v>
      </c>
      <c r="P204" s="293">
        <f t="shared" si="38"/>
        <v>0</v>
      </c>
      <c r="Q204" s="293">
        <f t="shared" si="38"/>
        <v>0</v>
      </c>
      <c r="R204" s="297">
        <f t="shared" si="24"/>
        <v>0</v>
      </c>
    </row>
    <row r="205" spans="1:18" s="77" customFormat="1" ht="31.2" hidden="1" x14ac:dyDescent="0.25">
      <c r="A205" s="90"/>
      <c r="B205" s="91" t="s">
        <v>527</v>
      </c>
      <c r="C205" s="92"/>
      <c r="D205" s="92"/>
      <c r="E205" s="312" t="s">
        <v>15</v>
      </c>
      <c r="F205" s="293">
        <f>F206+F209+F207+F208</f>
        <v>0</v>
      </c>
      <c r="G205" s="293">
        <f t="shared" ref="G205:Q205" si="39">G206+G209+G207+G208</f>
        <v>0</v>
      </c>
      <c r="H205" s="293">
        <f t="shared" si="39"/>
        <v>0</v>
      </c>
      <c r="I205" s="293">
        <f t="shared" si="39"/>
        <v>0</v>
      </c>
      <c r="J205" s="293">
        <f t="shared" si="39"/>
        <v>0</v>
      </c>
      <c r="K205" s="293">
        <f t="shared" si="39"/>
        <v>0</v>
      </c>
      <c r="L205" s="293">
        <f t="shared" si="39"/>
        <v>0</v>
      </c>
      <c r="M205" s="293">
        <f t="shared" si="39"/>
        <v>0</v>
      </c>
      <c r="N205" s="293">
        <f t="shared" si="39"/>
        <v>0</v>
      </c>
      <c r="O205" s="293">
        <f t="shared" si="39"/>
        <v>0</v>
      </c>
      <c r="P205" s="293">
        <f t="shared" si="39"/>
        <v>0</v>
      </c>
      <c r="Q205" s="293">
        <f t="shared" si="39"/>
        <v>0</v>
      </c>
      <c r="R205" s="297">
        <f t="shared" si="24"/>
        <v>0</v>
      </c>
    </row>
    <row r="206" spans="1:18" s="77" customFormat="1" ht="46.8" hidden="1" x14ac:dyDescent="0.25">
      <c r="A206" s="90"/>
      <c r="B206" s="107" t="s">
        <v>528</v>
      </c>
      <c r="C206" s="95" t="s">
        <v>44</v>
      </c>
      <c r="D206" s="95" t="s">
        <v>43</v>
      </c>
      <c r="E206" s="291" t="s">
        <v>580</v>
      </c>
      <c r="F206" s="293">
        <f>G206+J206</f>
        <v>0</v>
      </c>
      <c r="G206" s="301"/>
      <c r="H206" s="301"/>
      <c r="I206" s="301"/>
      <c r="J206" s="301"/>
      <c r="K206" s="299">
        <f t="shared" si="37"/>
        <v>0</v>
      </c>
      <c r="L206" s="300"/>
      <c r="M206" s="301"/>
      <c r="N206" s="301"/>
      <c r="O206" s="301"/>
      <c r="P206" s="301"/>
      <c r="Q206" s="301"/>
      <c r="R206" s="297">
        <f t="shared" si="24"/>
        <v>0</v>
      </c>
    </row>
    <row r="207" spans="1:18" s="77" customFormat="1" ht="31.2" hidden="1" x14ac:dyDescent="0.25">
      <c r="A207" s="90"/>
      <c r="B207" s="107" t="s">
        <v>733</v>
      </c>
      <c r="C207" s="95" t="s">
        <v>706</v>
      </c>
      <c r="D207" s="95" t="s">
        <v>7</v>
      </c>
      <c r="E207" s="291" t="s">
        <v>734</v>
      </c>
      <c r="F207" s="293"/>
      <c r="G207" s="301"/>
      <c r="H207" s="301"/>
      <c r="I207" s="301"/>
      <c r="J207" s="301"/>
      <c r="K207" s="299">
        <f t="shared" si="37"/>
        <v>0</v>
      </c>
      <c r="L207" s="300"/>
      <c r="M207" s="301"/>
      <c r="N207" s="301"/>
      <c r="O207" s="301"/>
      <c r="P207" s="301"/>
      <c r="Q207" s="300"/>
      <c r="R207" s="297">
        <f t="shared" si="24"/>
        <v>0</v>
      </c>
    </row>
    <row r="208" spans="1:18" s="77" customFormat="1" ht="15.6" hidden="1" x14ac:dyDescent="0.25">
      <c r="A208" s="90"/>
      <c r="B208" s="107" t="s">
        <v>14</v>
      </c>
      <c r="C208" s="95" t="s">
        <v>13</v>
      </c>
      <c r="D208" s="95" t="s">
        <v>7</v>
      </c>
      <c r="E208" s="306" t="s">
        <v>12</v>
      </c>
      <c r="F208" s="293">
        <f>G208+J208</f>
        <v>0</v>
      </c>
      <c r="G208" s="301"/>
      <c r="H208" s="301"/>
      <c r="I208" s="301"/>
      <c r="J208" s="301"/>
      <c r="K208" s="299">
        <f t="shared" si="37"/>
        <v>0</v>
      </c>
      <c r="L208" s="300">
        <f>1000000-1000000</f>
        <v>0</v>
      </c>
      <c r="M208" s="301"/>
      <c r="N208" s="301"/>
      <c r="O208" s="301"/>
      <c r="P208" s="301"/>
      <c r="Q208" s="301">
        <f>1000000-1000000</f>
        <v>0</v>
      </c>
      <c r="R208" s="297">
        <f>F208+K208</f>
        <v>0</v>
      </c>
    </row>
    <row r="209" spans="1:19" s="77" customFormat="1" ht="47.4" hidden="1" thickBot="1" x14ac:dyDescent="0.3">
      <c r="A209" s="90"/>
      <c r="B209" s="108" t="s">
        <v>9</v>
      </c>
      <c r="C209" s="118" t="s">
        <v>8</v>
      </c>
      <c r="D209" s="118" t="s">
        <v>7</v>
      </c>
      <c r="E209" s="330" t="s">
        <v>735</v>
      </c>
      <c r="F209" s="331">
        <f>G209+J209</f>
        <v>0</v>
      </c>
      <c r="G209" s="458"/>
      <c r="H209" s="458"/>
      <c r="I209" s="458"/>
      <c r="J209" s="458"/>
      <c r="K209" s="333">
        <f t="shared" si="37"/>
        <v>0</v>
      </c>
      <c r="L209" s="446"/>
      <c r="M209" s="458"/>
      <c r="N209" s="458"/>
      <c r="O209" s="458"/>
      <c r="P209" s="458"/>
      <c r="Q209" s="446"/>
      <c r="R209" s="335">
        <f>F209+K209</f>
        <v>0</v>
      </c>
    </row>
    <row r="210" spans="1:19" s="77" customFormat="1" ht="21.6" customHeight="1" thickBot="1" x14ac:dyDescent="0.3">
      <c r="A210" s="90"/>
      <c r="B210" s="128" t="s">
        <v>532</v>
      </c>
      <c r="C210" s="129" t="s">
        <v>532</v>
      </c>
      <c r="D210" s="129" t="s">
        <v>532</v>
      </c>
      <c r="E210" s="336" t="s">
        <v>629</v>
      </c>
      <c r="F210" s="337">
        <f t="shared" ref="F210:R210" si="40">F13+F98+F192+F204+F148</f>
        <v>45594</v>
      </c>
      <c r="G210" s="708">
        <f t="shared" si="40"/>
        <v>45594</v>
      </c>
      <c r="H210" s="708">
        <f t="shared" si="40"/>
        <v>0</v>
      </c>
      <c r="I210" s="708">
        <f t="shared" si="40"/>
        <v>-88250</v>
      </c>
      <c r="J210" s="708">
        <f t="shared" si="40"/>
        <v>0</v>
      </c>
      <c r="K210" s="708">
        <f t="shared" si="40"/>
        <v>54400</v>
      </c>
      <c r="L210" s="709">
        <f t="shared" si="40"/>
        <v>54400</v>
      </c>
      <c r="M210" s="708">
        <f t="shared" si="40"/>
        <v>0</v>
      </c>
      <c r="N210" s="708">
        <f t="shared" si="40"/>
        <v>0</v>
      </c>
      <c r="O210" s="754">
        <f t="shared" si="40"/>
        <v>0</v>
      </c>
      <c r="P210" s="708">
        <f t="shared" si="40"/>
        <v>0</v>
      </c>
      <c r="Q210" s="708">
        <f t="shared" si="40"/>
        <v>54400</v>
      </c>
      <c r="R210" s="338">
        <f t="shared" si="40"/>
        <v>99994</v>
      </c>
      <c r="S210" s="117"/>
    </row>
    <row r="211" spans="1:19" s="77" customFormat="1" ht="33.75" hidden="1" customHeight="1" x14ac:dyDescent="0.25">
      <c r="A211" s="90"/>
      <c r="B211" s="1121" t="s">
        <v>532</v>
      </c>
      <c r="C211" s="437" t="s">
        <v>532</v>
      </c>
      <c r="D211" s="437" t="s">
        <v>532</v>
      </c>
      <c r="E211" s="700" t="s">
        <v>533</v>
      </c>
      <c r="F211" s="1122">
        <f t="shared" ref="F211:Q211" si="41">F150</f>
        <v>0</v>
      </c>
      <c r="G211" s="1122">
        <f t="shared" si="41"/>
        <v>0</v>
      </c>
      <c r="H211" s="1122">
        <f t="shared" si="41"/>
        <v>0</v>
      </c>
      <c r="I211" s="1122">
        <f t="shared" si="41"/>
        <v>0</v>
      </c>
      <c r="J211" s="1122">
        <f t="shared" si="41"/>
        <v>0</v>
      </c>
      <c r="K211" s="1122">
        <f t="shared" si="41"/>
        <v>0</v>
      </c>
      <c r="L211" s="1122">
        <f t="shared" si="41"/>
        <v>0</v>
      </c>
      <c r="M211" s="1122">
        <f t="shared" si="41"/>
        <v>0</v>
      </c>
      <c r="N211" s="1122">
        <f t="shared" si="41"/>
        <v>0</v>
      </c>
      <c r="O211" s="1122">
        <f t="shared" si="41"/>
        <v>0</v>
      </c>
      <c r="P211" s="1122">
        <f t="shared" si="41"/>
        <v>0</v>
      </c>
      <c r="Q211" s="1122">
        <f t="shared" si="41"/>
        <v>0</v>
      </c>
      <c r="R211" s="1122">
        <f>R150</f>
        <v>0</v>
      </c>
      <c r="S211" s="117"/>
    </row>
    <row r="212" spans="1:19" s="77" customFormat="1" ht="36.75" customHeight="1" thickBot="1" x14ac:dyDescent="0.35">
      <c r="A212" s="90"/>
      <c r="B212" s="1123" t="s">
        <v>532</v>
      </c>
      <c r="C212" s="441" t="s">
        <v>532</v>
      </c>
      <c r="D212" s="441" t="s">
        <v>532</v>
      </c>
      <c r="E212" s="462" t="s">
        <v>534</v>
      </c>
      <c r="F212" s="1265">
        <f>F151+F102</f>
        <v>0</v>
      </c>
      <c r="G212" s="1265">
        <f>G151+G102</f>
        <v>0</v>
      </c>
      <c r="H212" s="1265">
        <f t="shared" ref="H212:R212" si="42">H151+H102</f>
        <v>0</v>
      </c>
      <c r="I212" s="1265">
        <f t="shared" si="42"/>
        <v>0</v>
      </c>
      <c r="J212" s="1265">
        <f t="shared" si="42"/>
        <v>0</v>
      </c>
      <c r="K212" s="1265">
        <f t="shared" si="42"/>
        <v>0</v>
      </c>
      <c r="L212" s="1265">
        <f t="shared" si="42"/>
        <v>0</v>
      </c>
      <c r="M212" s="1265">
        <f t="shared" si="42"/>
        <v>0</v>
      </c>
      <c r="N212" s="1265">
        <f t="shared" si="42"/>
        <v>0</v>
      </c>
      <c r="O212" s="1265">
        <f t="shared" si="42"/>
        <v>0</v>
      </c>
      <c r="P212" s="1265">
        <f t="shared" si="42"/>
        <v>0</v>
      </c>
      <c r="Q212" s="1265">
        <f t="shared" si="42"/>
        <v>0</v>
      </c>
      <c r="R212" s="1266">
        <f t="shared" si="42"/>
        <v>0</v>
      </c>
      <c r="S212" s="117"/>
    </row>
    <row r="213" spans="1:19" s="77" customFormat="1" ht="37.5" hidden="1" customHeight="1" x14ac:dyDescent="0.25">
      <c r="A213" s="90"/>
      <c r="B213" s="1121" t="s">
        <v>532</v>
      </c>
      <c r="C213" s="437" t="s">
        <v>532</v>
      </c>
      <c r="D213" s="437" t="s">
        <v>532</v>
      </c>
      <c r="E213" s="1259" t="s">
        <v>736</v>
      </c>
      <c r="F213" s="1260">
        <f t="shared" ref="F213:R213" si="43">F103</f>
        <v>0</v>
      </c>
      <c r="G213" s="1260">
        <f t="shared" si="43"/>
        <v>0</v>
      </c>
      <c r="H213" s="1260">
        <f t="shared" si="43"/>
        <v>0</v>
      </c>
      <c r="I213" s="1260">
        <f t="shared" si="43"/>
        <v>0</v>
      </c>
      <c r="J213" s="1260">
        <f t="shared" si="43"/>
        <v>0</v>
      </c>
      <c r="K213" s="1260">
        <f t="shared" si="43"/>
        <v>0</v>
      </c>
      <c r="L213" s="1260">
        <f t="shared" si="43"/>
        <v>0</v>
      </c>
      <c r="M213" s="1260">
        <f t="shared" si="43"/>
        <v>0</v>
      </c>
      <c r="N213" s="1260">
        <f t="shared" si="43"/>
        <v>0</v>
      </c>
      <c r="O213" s="1260">
        <f t="shared" si="43"/>
        <v>0</v>
      </c>
      <c r="P213" s="1260">
        <f t="shared" si="43"/>
        <v>0</v>
      </c>
      <c r="Q213" s="1260">
        <f t="shared" si="43"/>
        <v>0</v>
      </c>
      <c r="R213" s="1261">
        <f t="shared" si="43"/>
        <v>0</v>
      </c>
    </row>
    <row r="214" spans="1:19" s="77" customFormat="1" ht="33.75" customHeight="1" thickBot="1" x14ac:dyDescent="0.3">
      <c r="A214" s="90"/>
      <c r="B214" s="1123" t="s">
        <v>532</v>
      </c>
      <c r="C214" s="441" t="s">
        <v>532</v>
      </c>
      <c r="D214" s="441" t="s">
        <v>532</v>
      </c>
      <c r="E214" s="462" t="s">
        <v>1167</v>
      </c>
      <c r="F214" s="1124">
        <f t="shared" ref="F214:R214" si="44">F105+F152</f>
        <v>99994</v>
      </c>
      <c r="G214" s="1124">
        <f>G105+G152</f>
        <v>99994</v>
      </c>
      <c r="H214" s="1124">
        <f t="shared" si="44"/>
        <v>0</v>
      </c>
      <c r="I214" s="1124">
        <f t="shared" si="44"/>
        <v>99994</v>
      </c>
      <c r="J214" s="1124">
        <f t="shared" si="44"/>
        <v>0</v>
      </c>
      <c r="K214" s="1124">
        <f t="shared" si="44"/>
        <v>0</v>
      </c>
      <c r="L214" s="1124">
        <f t="shared" si="44"/>
        <v>0</v>
      </c>
      <c r="M214" s="1124">
        <f t="shared" si="44"/>
        <v>0</v>
      </c>
      <c r="N214" s="1124">
        <f t="shared" si="44"/>
        <v>0</v>
      </c>
      <c r="O214" s="1124">
        <f t="shared" si="44"/>
        <v>0</v>
      </c>
      <c r="P214" s="1124">
        <f t="shared" si="44"/>
        <v>0</v>
      </c>
      <c r="Q214" s="1124">
        <f t="shared" si="44"/>
        <v>0</v>
      </c>
      <c r="R214" s="1125">
        <f t="shared" si="44"/>
        <v>99994</v>
      </c>
    </row>
    <row r="215" spans="1:19" ht="34.200000000000003" customHeight="1" x14ac:dyDescent="0.3">
      <c r="A215" s="71"/>
      <c r="B215" s="71"/>
      <c r="C215" s="71"/>
      <c r="D215" s="71"/>
      <c r="E215" s="71"/>
      <c r="F215" s="134">
        <f>F210-'дод8 '!C278</f>
        <v>0</v>
      </c>
      <c r="G215" s="134"/>
      <c r="H215" s="71"/>
      <c r="I215" s="71"/>
      <c r="J215" s="71"/>
      <c r="K215" s="339"/>
      <c r="L215" s="340"/>
      <c r="M215" s="341"/>
      <c r="N215" s="341"/>
      <c r="O215" s="341"/>
      <c r="P215" s="341"/>
      <c r="Q215" s="341"/>
      <c r="R215" s="342">
        <f>R210-'дод8 '!C356</f>
        <v>0</v>
      </c>
      <c r="S215" s="74"/>
    </row>
    <row r="216" spans="1:19" ht="15.6" x14ac:dyDescent="0.3">
      <c r="A216" s="71"/>
      <c r="B216" s="171" t="s">
        <v>1</v>
      </c>
      <c r="C216" s="172"/>
      <c r="D216" s="172"/>
      <c r="E216" s="172"/>
      <c r="F216" s="71"/>
      <c r="G216" s="71"/>
      <c r="H216" s="71"/>
      <c r="I216" s="71"/>
      <c r="J216" s="71"/>
      <c r="K216" s="171" t="s">
        <v>650</v>
      </c>
      <c r="L216" s="341"/>
      <c r="M216" s="341"/>
      <c r="N216" s="341"/>
      <c r="O216" s="341"/>
      <c r="P216" s="341"/>
      <c r="Q216" s="341"/>
      <c r="R216" s="341"/>
      <c r="S216" s="71"/>
    </row>
    <row r="217" spans="1:19" hidden="1" x14ac:dyDescent="0.3">
      <c r="A217" s="71"/>
      <c r="B217" s="71"/>
      <c r="C217" s="71"/>
      <c r="D217" s="71"/>
      <c r="E217" s="71" t="s">
        <v>737</v>
      </c>
      <c r="F217" s="71">
        <v>185915295</v>
      </c>
      <c r="G217" s="71">
        <v>185763295</v>
      </c>
      <c r="H217" s="71">
        <v>119227114</v>
      </c>
      <c r="I217" s="71">
        <v>13150259</v>
      </c>
      <c r="J217" s="71">
        <v>52000</v>
      </c>
      <c r="K217" s="71">
        <v>907100</v>
      </c>
      <c r="L217" s="341">
        <v>100000</v>
      </c>
      <c r="M217" s="341">
        <v>0</v>
      </c>
      <c r="N217" s="341">
        <v>807100</v>
      </c>
      <c r="O217" s="341">
        <v>116393</v>
      </c>
      <c r="P217" s="341">
        <v>13700</v>
      </c>
      <c r="Q217" s="341">
        <v>100000</v>
      </c>
      <c r="R217" s="341">
        <v>186822395</v>
      </c>
      <c r="S217" s="71" t="s">
        <v>738</v>
      </c>
    </row>
    <row r="218" spans="1:19" hidden="1" x14ac:dyDescent="0.3">
      <c r="A218" s="71"/>
      <c r="B218" s="71"/>
      <c r="C218" s="71"/>
      <c r="D218" s="71"/>
      <c r="E218" s="71" t="s">
        <v>739</v>
      </c>
      <c r="F218" s="71">
        <v>6351365</v>
      </c>
      <c r="G218" s="71">
        <v>6351365</v>
      </c>
      <c r="H218" s="71">
        <v>0</v>
      </c>
      <c r="I218" s="71">
        <v>3000000</v>
      </c>
      <c r="J218" s="71">
        <v>0</v>
      </c>
      <c r="K218" s="71">
        <v>3027900</v>
      </c>
      <c r="L218" s="341">
        <v>3027900</v>
      </c>
      <c r="M218" s="341">
        <v>0</v>
      </c>
      <c r="N218" s="341">
        <v>0</v>
      </c>
      <c r="O218" s="341">
        <v>0</v>
      </c>
      <c r="P218" s="341">
        <v>0</v>
      </c>
      <c r="Q218" s="341">
        <v>3027900</v>
      </c>
      <c r="R218" s="341">
        <v>9379265</v>
      </c>
      <c r="S218" s="71"/>
    </row>
    <row r="219" spans="1:19" hidden="1" x14ac:dyDescent="0.3">
      <c r="A219" s="71"/>
      <c r="B219" s="71"/>
      <c r="C219" s="71"/>
      <c r="D219" s="71"/>
      <c r="E219" s="71" t="s">
        <v>740</v>
      </c>
      <c r="F219" s="342">
        <f>F217+F218</f>
        <v>192266660</v>
      </c>
      <c r="G219" s="342">
        <f t="shared" ref="F219:S223" si="45">G217+G218</f>
        <v>192114660</v>
      </c>
      <c r="H219" s="342">
        <f t="shared" si="45"/>
        <v>119227114</v>
      </c>
      <c r="I219" s="342">
        <f t="shared" si="45"/>
        <v>16150259</v>
      </c>
      <c r="J219" s="342">
        <f t="shared" si="45"/>
        <v>52000</v>
      </c>
      <c r="K219" s="342">
        <f t="shared" si="45"/>
        <v>3935000</v>
      </c>
      <c r="L219" s="342">
        <f t="shared" si="45"/>
        <v>3127900</v>
      </c>
      <c r="M219" s="342">
        <f t="shared" si="45"/>
        <v>0</v>
      </c>
      <c r="N219" s="342">
        <f t="shared" si="45"/>
        <v>807100</v>
      </c>
      <c r="O219" s="342">
        <f t="shared" si="45"/>
        <v>116393</v>
      </c>
      <c r="P219" s="342" t="s">
        <v>741</v>
      </c>
      <c r="Q219" s="342">
        <f t="shared" si="45"/>
        <v>3127900</v>
      </c>
      <c r="R219" s="342">
        <f t="shared" si="45"/>
        <v>196201660</v>
      </c>
      <c r="S219" s="71">
        <v>3743723</v>
      </c>
    </row>
    <row r="220" spans="1:19" hidden="1" x14ac:dyDescent="0.3">
      <c r="A220" s="71"/>
      <c r="B220" s="71"/>
      <c r="C220" s="71"/>
      <c r="D220" s="71"/>
      <c r="E220" s="71" t="s">
        <v>742</v>
      </c>
      <c r="F220" s="71">
        <v>5172568</v>
      </c>
      <c r="G220" s="71">
        <v>5172568</v>
      </c>
      <c r="H220" s="71">
        <v>36885</v>
      </c>
      <c r="I220" s="71">
        <v>0</v>
      </c>
      <c r="J220" s="71">
        <v>0</v>
      </c>
      <c r="K220" s="71">
        <v>21031418</v>
      </c>
      <c r="L220" s="341">
        <v>20044600</v>
      </c>
      <c r="M220" s="341">
        <v>0</v>
      </c>
      <c r="N220" s="341">
        <v>986818</v>
      </c>
      <c r="O220" s="341">
        <v>0</v>
      </c>
      <c r="P220" s="341">
        <v>0</v>
      </c>
      <c r="Q220" s="341">
        <v>20044600</v>
      </c>
      <c r="R220" s="341">
        <v>26203986</v>
      </c>
      <c r="S220" s="71">
        <v>343135</v>
      </c>
    </row>
    <row r="221" spans="1:19" hidden="1" x14ac:dyDescent="0.3">
      <c r="A221" s="71"/>
      <c r="B221" s="71"/>
      <c r="C221" s="71"/>
      <c r="D221" s="71"/>
      <c r="E221" s="71" t="s">
        <v>740</v>
      </c>
      <c r="F221" s="342">
        <f t="shared" si="45"/>
        <v>197439228</v>
      </c>
      <c r="G221" s="342">
        <f t="shared" si="45"/>
        <v>197287228</v>
      </c>
      <c r="H221" s="342">
        <f t="shared" si="45"/>
        <v>119263999</v>
      </c>
      <c r="I221" s="342">
        <f t="shared" si="45"/>
        <v>16150259</v>
      </c>
      <c r="J221" s="342">
        <f t="shared" si="45"/>
        <v>52000</v>
      </c>
      <c r="K221" s="342">
        <f t="shared" si="45"/>
        <v>24966418</v>
      </c>
      <c r="L221" s="342">
        <f t="shared" si="45"/>
        <v>23172500</v>
      </c>
      <c r="M221" s="342">
        <f t="shared" si="45"/>
        <v>0</v>
      </c>
      <c r="N221" s="342">
        <f t="shared" si="45"/>
        <v>1793918</v>
      </c>
      <c r="O221" s="342">
        <f t="shared" si="45"/>
        <v>116393</v>
      </c>
      <c r="P221" s="342" t="s">
        <v>741</v>
      </c>
      <c r="Q221" s="342">
        <f t="shared" si="45"/>
        <v>23172500</v>
      </c>
      <c r="R221" s="342">
        <f t="shared" si="45"/>
        <v>222405646</v>
      </c>
      <c r="S221" s="342">
        <f t="shared" si="45"/>
        <v>4086858</v>
      </c>
    </row>
    <row r="222" spans="1:19" hidden="1" x14ac:dyDescent="0.3">
      <c r="E222" s="71" t="s">
        <v>743</v>
      </c>
      <c r="F222" s="71">
        <v>5177258</v>
      </c>
      <c r="G222" s="71">
        <v>5177258</v>
      </c>
      <c r="H222" s="71">
        <v>0</v>
      </c>
      <c r="I222" s="71">
        <v>3999940</v>
      </c>
      <c r="J222" s="71">
        <v>0</v>
      </c>
      <c r="K222" s="71">
        <v>5661804.7999999998</v>
      </c>
      <c r="L222" s="341">
        <v>5584637.9900000002</v>
      </c>
      <c r="M222" s="341">
        <v>150000</v>
      </c>
      <c r="N222" s="341">
        <v>77166.81</v>
      </c>
      <c r="O222" s="341">
        <v>0</v>
      </c>
      <c r="P222" s="341">
        <v>0</v>
      </c>
      <c r="Q222" s="341">
        <v>5584637.9900000002</v>
      </c>
      <c r="R222" s="341">
        <v>10839062.800000001</v>
      </c>
      <c r="S222" s="341">
        <v>3112166</v>
      </c>
    </row>
    <row r="223" spans="1:19" hidden="1" x14ac:dyDescent="0.3">
      <c r="F223" s="342">
        <f t="shared" si="45"/>
        <v>202616486</v>
      </c>
      <c r="G223" s="342">
        <f t="shared" si="45"/>
        <v>202464486</v>
      </c>
      <c r="H223" s="342">
        <f t="shared" si="45"/>
        <v>119263999</v>
      </c>
      <c r="I223" s="342">
        <f t="shared" si="45"/>
        <v>20150199</v>
      </c>
      <c r="J223" s="342">
        <f t="shared" si="45"/>
        <v>52000</v>
      </c>
      <c r="K223" s="342">
        <f t="shared" si="45"/>
        <v>30628222.800000001</v>
      </c>
      <c r="L223" s="342">
        <f t="shared" si="45"/>
        <v>28757137.990000002</v>
      </c>
      <c r="M223" s="342">
        <f t="shared" si="45"/>
        <v>150000</v>
      </c>
      <c r="N223" s="342">
        <f t="shared" si="45"/>
        <v>1871084.81</v>
      </c>
      <c r="O223" s="342">
        <f t="shared" si="45"/>
        <v>116393</v>
      </c>
      <c r="P223" s="342" t="s">
        <v>741</v>
      </c>
      <c r="Q223" s="342">
        <f t="shared" si="45"/>
        <v>28757137.990000002</v>
      </c>
      <c r="R223" s="342">
        <f t="shared" si="45"/>
        <v>233244708.80000001</v>
      </c>
      <c r="S223" s="342">
        <f t="shared" si="45"/>
        <v>7199024</v>
      </c>
    </row>
    <row r="224" spans="1:19" hidden="1" x14ac:dyDescent="0.3">
      <c r="F224" s="71"/>
      <c r="G224" s="71"/>
      <c r="H224" s="71"/>
      <c r="I224" s="71"/>
      <c r="J224" s="71"/>
      <c r="K224" s="342">
        <f>F221+K221</f>
        <v>222405646</v>
      </c>
      <c r="L224" s="341"/>
      <c r="M224" s="341"/>
      <c r="N224" s="341"/>
      <c r="O224" s="341"/>
      <c r="P224" s="341"/>
      <c r="Q224" s="341"/>
      <c r="R224" s="341"/>
      <c r="S224" s="71"/>
    </row>
    <row r="225" spans="6:19" hidden="1" x14ac:dyDescent="0.3">
      <c r="F225" s="71"/>
      <c r="G225" s="71"/>
      <c r="H225" s="71"/>
      <c r="I225" s="71"/>
      <c r="J225" s="71"/>
      <c r="K225" s="71"/>
      <c r="L225" s="341"/>
      <c r="M225" s="341"/>
      <c r="N225" s="341"/>
      <c r="O225" s="341"/>
      <c r="P225" s="341"/>
      <c r="Q225" s="341"/>
      <c r="R225" s="341"/>
      <c r="S225" s="71"/>
    </row>
  </sheetData>
  <mergeCells count="17">
    <mergeCell ref="M10:M11"/>
    <mergeCell ref="O10:P10"/>
    <mergeCell ref="B6:R6"/>
    <mergeCell ref="C7:D7"/>
    <mergeCell ref="B9:B11"/>
    <mergeCell ref="C9:C11"/>
    <mergeCell ref="D9:D11"/>
    <mergeCell ref="E9:E11"/>
    <mergeCell ref="F9:J9"/>
    <mergeCell ref="K9:Q9"/>
    <mergeCell ref="R9:R11"/>
    <mergeCell ref="F10:F11"/>
    <mergeCell ref="Q10:Q11"/>
    <mergeCell ref="G10:G11"/>
    <mergeCell ref="H10:I10"/>
    <mergeCell ref="J10:J11"/>
    <mergeCell ref="K10:K11"/>
  </mergeCells>
  <printOptions horizontalCentered="1"/>
  <pageMargins left="0.39370078740157483" right="0.39370078740157483" top="1.1811023622047245" bottom="0.39370078740157483" header="0.51181102362204722" footer="0.31496062992125984"/>
  <pageSetup paperSize="9" scale="57" fitToHeight="10" orientation="landscape" horizontalDpi="360" verticalDpi="360" r:id="rId1"/>
  <headerFooter alignWithMargins="0">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17"/>
  <sheetViews>
    <sheetView view="pageBreakPreview" zoomScale="60" zoomScaleNormal="75" workbookViewId="0">
      <selection activeCell="A17" sqref="A17:XFD17"/>
    </sheetView>
  </sheetViews>
  <sheetFormatPr defaultRowHeight="13.2" x14ac:dyDescent="0.25"/>
  <cols>
    <col min="1" max="1" width="20.44140625" style="135" customWidth="1"/>
    <col min="2" max="2" width="23.33203125" style="135" customWidth="1"/>
    <col min="3" max="3" width="17.44140625" style="135" customWidth="1"/>
    <col min="4" max="6" width="33" style="135" customWidth="1"/>
    <col min="7" max="256" width="8.88671875" style="135"/>
    <col min="257" max="257" width="20.44140625" style="135" customWidth="1"/>
    <col min="258" max="258" width="23.33203125" style="135" customWidth="1"/>
    <col min="259" max="259" width="17.44140625" style="135" customWidth="1"/>
    <col min="260" max="262" width="33" style="135" customWidth="1"/>
    <col min="263" max="512" width="8.88671875" style="135"/>
    <col min="513" max="513" width="20.44140625" style="135" customWidth="1"/>
    <col min="514" max="514" width="23.33203125" style="135" customWidth="1"/>
    <col min="515" max="515" width="17.44140625" style="135" customWidth="1"/>
    <col min="516" max="518" width="33" style="135" customWidth="1"/>
    <col min="519" max="768" width="8.88671875" style="135"/>
    <col min="769" max="769" width="20.44140625" style="135" customWidth="1"/>
    <col min="770" max="770" width="23.33203125" style="135" customWidth="1"/>
    <col min="771" max="771" width="17.44140625" style="135" customWidth="1"/>
    <col min="772" max="774" width="33" style="135" customWidth="1"/>
    <col min="775" max="1024" width="8.88671875" style="135"/>
    <col min="1025" max="1025" width="20.44140625" style="135" customWidth="1"/>
    <col min="1026" max="1026" width="23.33203125" style="135" customWidth="1"/>
    <col min="1027" max="1027" width="17.44140625" style="135" customWidth="1"/>
    <col min="1028" max="1030" width="33" style="135" customWidth="1"/>
    <col min="1031" max="1280" width="8.88671875" style="135"/>
    <col min="1281" max="1281" width="20.44140625" style="135" customWidth="1"/>
    <col min="1282" max="1282" width="23.33203125" style="135" customWidth="1"/>
    <col min="1283" max="1283" width="17.44140625" style="135" customWidth="1"/>
    <col min="1284" max="1286" width="33" style="135" customWidth="1"/>
    <col min="1287" max="1536" width="8.88671875" style="135"/>
    <col min="1537" max="1537" width="20.44140625" style="135" customWidth="1"/>
    <col min="1538" max="1538" width="23.33203125" style="135" customWidth="1"/>
    <col min="1539" max="1539" width="17.44140625" style="135" customWidth="1"/>
    <col min="1540" max="1542" width="33" style="135" customWidth="1"/>
    <col min="1543" max="1792" width="8.88671875" style="135"/>
    <col min="1793" max="1793" width="20.44140625" style="135" customWidth="1"/>
    <col min="1794" max="1794" width="23.33203125" style="135" customWidth="1"/>
    <col min="1795" max="1795" width="17.44140625" style="135" customWidth="1"/>
    <col min="1796" max="1798" width="33" style="135" customWidth="1"/>
    <col min="1799" max="2048" width="8.88671875" style="135"/>
    <col min="2049" max="2049" width="20.44140625" style="135" customWidth="1"/>
    <col min="2050" max="2050" width="23.33203125" style="135" customWidth="1"/>
    <col min="2051" max="2051" width="17.44140625" style="135" customWidth="1"/>
    <col min="2052" max="2054" width="33" style="135" customWidth="1"/>
    <col min="2055" max="2304" width="8.88671875" style="135"/>
    <col min="2305" max="2305" width="20.44140625" style="135" customWidth="1"/>
    <col min="2306" max="2306" width="23.33203125" style="135" customWidth="1"/>
    <col min="2307" max="2307" width="17.44140625" style="135" customWidth="1"/>
    <col min="2308" max="2310" width="33" style="135" customWidth="1"/>
    <col min="2311" max="2560" width="8.88671875" style="135"/>
    <col min="2561" max="2561" width="20.44140625" style="135" customWidth="1"/>
    <col min="2562" max="2562" width="23.33203125" style="135" customWidth="1"/>
    <col min="2563" max="2563" width="17.44140625" style="135" customWidth="1"/>
    <col min="2564" max="2566" width="33" style="135" customWidth="1"/>
    <col min="2567" max="2816" width="8.88671875" style="135"/>
    <col min="2817" max="2817" width="20.44140625" style="135" customWidth="1"/>
    <col min="2818" max="2818" width="23.33203125" style="135" customWidth="1"/>
    <col min="2819" max="2819" width="17.44140625" style="135" customWidth="1"/>
    <col min="2820" max="2822" width="33" style="135" customWidth="1"/>
    <col min="2823" max="3072" width="8.88671875" style="135"/>
    <col min="3073" max="3073" width="20.44140625" style="135" customWidth="1"/>
    <col min="3074" max="3074" width="23.33203125" style="135" customWidth="1"/>
    <col min="3075" max="3075" width="17.44140625" style="135" customWidth="1"/>
    <col min="3076" max="3078" width="33" style="135" customWidth="1"/>
    <col min="3079" max="3328" width="8.88671875" style="135"/>
    <col min="3329" max="3329" width="20.44140625" style="135" customWidth="1"/>
    <col min="3330" max="3330" width="23.33203125" style="135" customWidth="1"/>
    <col min="3331" max="3331" width="17.44140625" style="135" customWidth="1"/>
    <col min="3332" max="3334" width="33" style="135" customWidth="1"/>
    <col min="3335" max="3584" width="8.88671875" style="135"/>
    <col min="3585" max="3585" width="20.44140625" style="135" customWidth="1"/>
    <col min="3586" max="3586" width="23.33203125" style="135" customWidth="1"/>
    <col min="3587" max="3587" width="17.44140625" style="135" customWidth="1"/>
    <col min="3588" max="3590" width="33" style="135" customWidth="1"/>
    <col min="3591" max="3840" width="8.88671875" style="135"/>
    <col min="3841" max="3841" width="20.44140625" style="135" customWidth="1"/>
    <col min="3842" max="3842" width="23.33203125" style="135" customWidth="1"/>
    <col min="3843" max="3843" width="17.44140625" style="135" customWidth="1"/>
    <col min="3844" max="3846" width="33" style="135" customWidth="1"/>
    <col min="3847" max="4096" width="8.88671875" style="135"/>
    <col min="4097" max="4097" width="20.44140625" style="135" customWidth="1"/>
    <col min="4098" max="4098" width="23.33203125" style="135" customWidth="1"/>
    <col min="4099" max="4099" width="17.44140625" style="135" customWidth="1"/>
    <col min="4100" max="4102" width="33" style="135" customWidth="1"/>
    <col min="4103" max="4352" width="8.88671875" style="135"/>
    <col min="4353" max="4353" width="20.44140625" style="135" customWidth="1"/>
    <col min="4354" max="4354" width="23.33203125" style="135" customWidth="1"/>
    <col min="4355" max="4355" width="17.44140625" style="135" customWidth="1"/>
    <col min="4356" max="4358" width="33" style="135" customWidth="1"/>
    <col min="4359" max="4608" width="8.88671875" style="135"/>
    <col min="4609" max="4609" width="20.44140625" style="135" customWidth="1"/>
    <col min="4610" max="4610" width="23.33203125" style="135" customWidth="1"/>
    <col min="4611" max="4611" width="17.44140625" style="135" customWidth="1"/>
    <col min="4612" max="4614" width="33" style="135" customWidth="1"/>
    <col min="4615" max="4864" width="8.88671875" style="135"/>
    <col min="4865" max="4865" width="20.44140625" style="135" customWidth="1"/>
    <col min="4866" max="4866" width="23.33203125" style="135" customWidth="1"/>
    <col min="4867" max="4867" width="17.44140625" style="135" customWidth="1"/>
    <col min="4868" max="4870" width="33" style="135" customWidth="1"/>
    <col min="4871" max="5120" width="8.88671875" style="135"/>
    <col min="5121" max="5121" width="20.44140625" style="135" customWidth="1"/>
    <col min="5122" max="5122" width="23.33203125" style="135" customWidth="1"/>
    <col min="5123" max="5123" width="17.44140625" style="135" customWidth="1"/>
    <col min="5124" max="5126" width="33" style="135" customWidth="1"/>
    <col min="5127" max="5376" width="8.88671875" style="135"/>
    <col min="5377" max="5377" width="20.44140625" style="135" customWidth="1"/>
    <col min="5378" max="5378" width="23.33203125" style="135" customWidth="1"/>
    <col min="5379" max="5379" width="17.44140625" style="135" customWidth="1"/>
    <col min="5380" max="5382" width="33" style="135" customWidth="1"/>
    <col min="5383" max="5632" width="8.88671875" style="135"/>
    <col min="5633" max="5633" width="20.44140625" style="135" customWidth="1"/>
    <col min="5634" max="5634" width="23.33203125" style="135" customWidth="1"/>
    <col min="5635" max="5635" width="17.44140625" style="135" customWidth="1"/>
    <col min="5636" max="5638" width="33" style="135" customWidth="1"/>
    <col min="5639" max="5888" width="8.88671875" style="135"/>
    <col min="5889" max="5889" width="20.44140625" style="135" customWidth="1"/>
    <col min="5890" max="5890" width="23.33203125" style="135" customWidth="1"/>
    <col min="5891" max="5891" width="17.44140625" style="135" customWidth="1"/>
    <col min="5892" max="5894" width="33" style="135" customWidth="1"/>
    <col min="5895" max="6144" width="8.88671875" style="135"/>
    <col min="6145" max="6145" width="20.44140625" style="135" customWidth="1"/>
    <col min="6146" max="6146" width="23.33203125" style="135" customWidth="1"/>
    <col min="6147" max="6147" width="17.44140625" style="135" customWidth="1"/>
    <col min="6148" max="6150" width="33" style="135" customWidth="1"/>
    <col min="6151" max="6400" width="8.88671875" style="135"/>
    <col min="6401" max="6401" width="20.44140625" style="135" customWidth="1"/>
    <col min="6402" max="6402" width="23.33203125" style="135" customWidth="1"/>
    <col min="6403" max="6403" width="17.44140625" style="135" customWidth="1"/>
    <col min="6404" max="6406" width="33" style="135" customWidth="1"/>
    <col min="6407" max="6656" width="8.88671875" style="135"/>
    <col min="6657" max="6657" width="20.44140625" style="135" customWidth="1"/>
    <col min="6658" max="6658" width="23.33203125" style="135" customWidth="1"/>
    <col min="6659" max="6659" width="17.44140625" style="135" customWidth="1"/>
    <col min="6660" max="6662" width="33" style="135" customWidth="1"/>
    <col min="6663" max="6912" width="8.88671875" style="135"/>
    <col min="6913" max="6913" width="20.44140625" style="135" customWidth="1"/>
    <col min="6914" max="6914" width="23.33203125" style="135" customWidth="1"/>
    <col min="6915" max="6915" width="17.44140625" style="135" customWidth="1"/>
    <col min="6916" max="6918" width="33" style="135" customWidth="1"/>
    <col min="6919" max="7168" width="8.88671875" style="135"/>
    <col min="7169" max="7169" width="20.44140625" style="135" customWidth="1"/>
    <col min="7170" max="7170" width="23.33203125" style="135" customWidth="1"/>
    <col min="7171" max="7171" width="17.44140625" style="135" customWidth="1"/>
    <col min="7172" max="7174" width="33" style="135" customWidth="1"/>
    <col min="7175" max="7424" width="8.88671875" style="135"/>
    <col min="7425" max="7425" width="20.44140625" style="135" customWidth="1"/>
    <col min="7426" max="7426" width="23.33203125" style="135" customWidth="1"/>
    <col min="7427" max="7427" width="17.44140625" style="135" customWidth="1"/>
    <col min="7428" max="7430" width="33" style="135" customWidth="1"/>
    <col min="7431" max="7680" width="8.88671875" style="135"/>
    <col min="7681" max="7681" width="20.44140625" style="135" customWidth="1"/>
    <col min="7682" max="7682" width="23.33203125" style="135" customWidth="1"/>
    <col min="7683" max="7683" width="17.44140625" style="135" customWidth="1"/>
    <col min="7684" max="7686" width="33" style="135" customWidth="1"/>
    <col min="7687" max="7936" width="8.88671875" style="135"/>
    <col min="7937" max="7937" width="20.44140625" style="135" customWidth="1"/>
    <col min="7938" max="7938" width="23.33203125" style="135" customWidth="1"/>
    <col min="7939" max="7939" width="17.44140625" style="135" customWidth="1"/>
    <col min="7940" max="7942" width="33" style="135" customWidth="1"/>
    <col min="7943" max="8192" width="8.88671875" style="135"/>
    <col min="8193" max="8193" width="20.44140625" style="135" customWidth="1"/>
    <col min="8194" max="8194" width="23.33203125" style="135" customWidth="1"/>
    <col min="8195" max="8195" width="17.44140625" style="135" customWidth="1"/>
    <col min="8196" max="8198" width="33" style="135" customWidth="1"/>
    <col min="8199" max="8448" width="8.88671875" style="135"/>
    <col min="8449" max="8449" width="20.44140625" style="135" customWidth="1"/>
    <col min="8450" max="8450" width="23.33203125" style="135" customWidth="1"/>
    <col min="8451" max="8451" width="17.44140625" style="135" customWidth="1"/>
    <col min="8452" max="8454" width="33" style="135" customWidth="1"/>
    <col min="8455" max="8704" width="8.88671875" style="135"/>
    <col min="8705" max="8705" width="20.44140625" style="135" customWidth="1"/>
    <col min="8706" max="8706" width="23.33203125" style="135" customWidth="1"/>
    <col min="8707" max="8707" width="17.44140625" style="135" customWidth="1"/>
    <col min="8708" max="8710" width="33" style="135" customWidth="1"/>
    <col min="8711" max="8960" width="8.88671875" style="135"/>
    <col min="8961" max="8961" width="20.44140625" style="135" customWidth="1"/>
    <col min="8962" max="8962" width="23.33203125" style="135" customWidth="1"/>
    <col min="8963" max="8963" width="17.44140625" style="135" customWidth="1"/>
    <col min="8964" max="8966" width="33" style="135" customWidth="1"/>
    <col min="8967" max="9216" width="8.88671875" style="135"/>
    <col min="9217" max="9217" width="20.44140625" style="135" customWidth="1"/>
    <col min="9218" max="9218" width="23.33203125" style="135" customWidth="1"/>
    <col min="9219" max="9219" width="17.44140625" style="135" customWidth="1"/>
    <col min="9220" max="9222" width="33" style="135" customWidth="1"/>
    <col min="9223" max="9472" width="8.88671875" style="135"/>
    <col min="9473" max="9473" width="20.44140625" style="135" customWidth="1"/>
    <col min="9474" max="9474" width="23.33203125" style="135" customWidth="1"/>
    <col min="9475" max="9475" width="17.44140625" style="135" customWidth="1"/>
    <col min="9476" max="9478" width="33" style="135" customWidth="1"/>
    <col min="9479" max="9728" width="8.88671875" style="135"/>
    <col min="9729" max="9729" width="20.44140625" style="135" customWidth="1"/>
    <col min="9730" max="9730" width="23.33203125" style="135" customWidth="1"/>
    <col min="9731" max="9731" width="17.44140625" style="135" customWidth="1"/>
    <col min="9732" max="9734" width="33" style="135" customWidth="1"/>
    <col min="9735" max="9984" width="8.88671875" style="135"/>
    <col min="9985" max="9985" width="20.44140625" style="135" customWidth="1"/>
    <col min="9986" max="9986" width="23.33203125" style="135" customWidth="1"/>
    <col min="9987" max="9987" width="17.44140625" style="135" customWidth="1"/>
    <col min="9988" max="9990" width="33" style="135" customWidth="1"/>
    <col min="9991" max="10240" width="8.88671875" style="135"/>
    <col min="10241" max="10241" width="20.44140625" style="135" customWidth="1"/>
    <col min="10242" max="10242" width="23.33203125" style="135" customWidth="1"/>
    <col min="10243" max="10243" width="17.44140625" style="135" customWidth="1"/>
    <col min="10244" max="10246" width="33" style="135" customWidth="1"/>
    <col min="10247" max="10496" width="8.88671875" style="135"/>
    <col min="10497" max="10497" width="20.44140625" style="135" customWidth="1"/>
    <col min="10498" max="10498" width="23.33203125" style="135" customWidth="1"/>
    <col min="10499" max="10499" width="17.44140625" style="135" customWidth="1"/>
    <col min="10500" max="10502" width="33" style="135" customWidth="1"/>
    <col min="10503" max="10752" width="8.88671875" style="135"/>
    <col min="10753" max="10753" width="20.44140625" style="135" customWidth="1"/>
    <col min="10754" max="10754" width="23.33203125" style="135" customWidth="1"/>
    <col min="10755" max="10755" width="17.44140625" style="135" customWidth="1"/>
    <col min="10756" max="10758" width="33" style="135" customWidth="1"/>
    <col min="10759" max="11008" width="8.88671875" style="135"/>
    <col min="11009" max="11009" width="20.44140625" style="135" customWidth="1"/>
    <col min="11010" max="11010" width="23.33203125" style="135" customWidth="1"/>
    <col min="11011" max="11011" width="17.44140625" style="135" customWidth="1"/>
    <col min="11012" max="11014" width="33" style="135" customWidth="1"/>
    <col min="11015" max="11264" width="8.88671875" style="135"/>
    <col min="11265" max="11265" width="20.44140625" style="135" customWidth="1"/>
    <col min="11266" max="11266" width="23.33203125" style="135" customWidth="1"/>
    <col min="11267" max="11267" width="17.44140625" style="135" customWidth="1"/>
    <col min="11268" max="11270" width="33" style="135" customWidth="1"/>
    <col min="11271" max="11520" width="8.88671875" style="135"/>
    <col min="11521" max="11521" width="20.44140625" style="135" customWidth="1"/>
    <col min="11522" max="11522" width="23.33203125" style="135" customWidth="1"/>
    <col min="11523" max="11523" width="17.44140625" style="135" customWidth="1"/>
    <col min="11524" max="11526" width="33" style="135" customWidth="1"/>
    <col min="11527" max="11776" width="8.88671875" style="135"/>
    <col min="11777" max="11777" width="20.44140625" style="135" customWidth="1"/>
    <col min="11778" max="11778" width="23.33203125" style="135" customWidth="1"/>
    <col min="11779" max="11779" width="17.44140625" style="135" customWidth="1"/>
    <col min="11780" max="11782" width="33" style="135" customWidth="1"/>
    <col min="11783" max="12032" width="8.88671875" style="135"/>
    <col min="12033" max="12033" width="20.44140625" style="135" customWidth="1"/>
    <col min="12034" max="12034" width="23.33203125" style="135" customWidth="1"/>
    <col min="12035" max="12035" width="17.44140625" style="135" customWidth="1"/>
    <col min="12036" max="12038" width="33" style="135" customWidth="1"/>
    <col min="12039" max="12288" width="8.88671875" style="135"/>
    <col min="12289" max="12289" width="20.44140625" style="135" customWidth="1"/>
    <col min="12290" max="12290" width="23.33203125" style="135" customWidth="1"/>
    <col min="12291" max="12291" width="17.44140625" style="135" customWidth="1"/>
    <col min="12292" max="12294" width="33" style="135" customWidth="1"/>
    <col min="12295" max="12544" width="8.88671875" style="135"/>
    <col min="12545" max="12545" width="20.44140625" style="135" customWidth="1"/>
    <col min="12546" max="12546" width="23.33203125" style="135" customWidth="1"/>
    <col min="12547" max="12547" width="17.44140625" style="135" customWidth="1"/>
    <col min="12548" max="12550" width="33" style="135" customWidth="1"/>
    <col min="12551" max="12800" width="8.88671875" style="135"/>
    <col min="12801" max="12801" width="20.44140625" style="135" customWidth="1"/>
    <col min="12802" max="12802" width="23.33203125" style="135" customWidth="1"/>
    <col min="12803" max="12803" width="17.44140625" style="135" customWidth="1"/>
    <col min="12804" max="12806" width="33" style="135" customWidth="1"/>
    <col min="12807" max="13056" width="8.88671875" style="135"/>
    <col min="13057" max="13057" width="20.44140625" style="135" customWidth="1"/>
    <col min="13058" max="13058" width="23.33203125" style="135" customWidth="1"/>
    <col min="13059" max="13059" width="17.44140625" style="135" customWidth="1"/>
    <col min="13060" max="13062" width="33" style="135" customWidth="1"/>
    <col min="13063" max="13312" width="8.88671875" style="135"/>
    <col min="13313" max="13313" width="20.44140625" style="135" customWidth="1"/>
    <col min="13314" max="13314" width="23.33203125" style="135" customWidth="1"/>
    <col min="13315" max="13315" width="17.44140625" style="135" customWidth="1"/>
    <col min="13316" max="13318" width="33" style="135" customWidth="1"/>
    <col min="13319" max="13568" width="8.88671875" style="135"/>
    <col min="13569" max="13569" width="20.44140625" style="135" customWidth="1"/>
    <col min="13570" max="13570" width="23.33203125" style="135" customWidth="1"/>
    <col min="13571" max="13571" width="17.44140625" style="135" customWidth="1"/>
    <col min="13572" max="13574" width="33" style="135" customWidth="1"/>
    <col min="13575" max="13824" width="8.88671875" style="135"/>
    <col min="13825" max="13825" width="20.44140625" style="135" customWidth="1"/>
    <col min="13826" max="13826" width="23.33203125" style="135" customWidth="1"/>
    <col min="13827" max="13827" width="17.44140625" style="135" customWidth="1"/>
    <col min="13828" max="13830" width="33" style="135" customWidth="1"/>
    <col min="13831" max="14080" width="8.88671875" style="135"/>
    <col min="14081" max="14081" width="20.44140625" style="135" customWidth="1"/>
    <col min="14082" max="14082" width="23.33203125" style="135" customWidth="1"/>
    <col min="14083" max="14083" width="17.44140625" style="135" customWidth="1"/>
    <col min="14084" max="14086" width="33" style="135" customWidth="1"/>
    <col min="14087" max="14336" width="8.88671875" style="135"/>
    <col min="14337" max="14337" width="20.44140625" style="135" customWidth="1"/>
    <col min="14338" max="14338" width="23.33203125" style="135" customWidth="1"/>
    <col min="14339" max="14339" width="17.44140625" style="135" customWidth="1"/>
    <col min="14340" max="14342" width="33" style="135" customWidth="1"/>
    <col min="14343" max="14592" width="8.88671875" style="135"/>
    <col min="14593" max="14593" width="20.44140625" style="135" customWidth="1"/>
    <col min="14594" max="14594" width="23.33203125" style="135" customWidth="1"/>
    <col min="14595" max="14595" width="17.44140625" style="135" customWidth="1"/>
    <col min="14596" max="14598" width="33" style="135" customWidth="1"/>
    <col min="14599" max="14848" width="8.88671875" style="135"/>
    <col min="14849" max="14849" width="20.44140625" style="135" customWidth="1"/>
    <col min="14850" max="14850" width="23.33203125" style="135" customWidth="1"/>
    <col min="14851" max="14851" width="17.44140625" style="135" customWidth="1"/>
    <col min="14852" max="14854" width="33" style="135" customWidth="1"/>
    <col min="14855" max="15104" width="8.88671875" style="135"/>
    <col min="15105" max="15105" width="20.44140625" style="135" customWidth="1"/>
    <col min="15106" max="15106" width="23.33203125" style="135" customWidth="1"/>
    <col min="15107" max="15107" width="17.44140625" style="135" customWidth="1"/>
    <col min="15108" max="15110" width="33" style="135" customWidth="1"/>
    <col min="15111" max="15360" width="8.88671875" style="135"/>
    <col min="15361" max="15361" width="20.44140625" style="135" customWidth="1"/>
    <col min="15362" max="15362" width="23.33203125" style="135" customWidth="1"/>
    <col min="15363" max="15363" width="17.44140625" style="135" customWidth="1"/>
    <col min="15364" max="15366" width="33" style="135" customWidth="1"/>
    <col min="15367" max="15616" width="8.88671875" style="135"/>
    <col min="15617" max="15617" width="20.44140625" style="135" customWidth="1"/>
    <col min="15618" max="15618" width="23.33203125" style="135" customWidth="1"/>
    <col min="15619" max="15619" width="17.44140625" style="135" customWidth="1"/>
    <col min="15620" max="15622" width="33" style="135" customWidth="1"/>
    <col min="15623" max="15872" width="8.88671875" style="135"/>
    <col min="15873" max="15873" width="20.44140625" style="135" customWidth="1"/>
    <col min="15874" max="15874" width="23.33203125" style="135" customWidth="1"/>
    <col min="15875" max="15875" width="17.44140625" style="135" customWidth="1"/>
    <col min="15876" max="15878" width="33" style="135" customWidth="1"/>
    <col min="15879" max="16128" width="8.88671875" style="135"/>
    <col min="16129" max="16129" width="20.44140625" style="135" customWidth="1"/>
    <col min="16130" max="16130" width="23.33203125" style="135" customWidth="1"/>
    <col min="16131" max="16131" width="17.44140625" style="135" customWidth="1"/>
    <col min="16132" max="16134" width="33" style="135" customWidth="1"/>
    <col min="16135" max="16384" width="8.88671875" style="135"/>
  </cols>
  <sheetData>
    <row r="1" spans="1:16" ht="13.5" customHeight="1" x14ac:dyDescent="0.3">
      <c r="I1" s="136" t="s">
        <v>535</v>
      </c>
    </row>
    <row r="2" spans="1:16" ht="13.5" hidden="1" customHeight="1" x14ac:dyDescent="0.3">
      <c r="I2" s="154" t="s">
        <v>612</v>
      </c>
    </row>
    <row r="3" spans="1:16" ht="13.5" hidden="1" customHeight="1" x14ac:dyDescent="0.3">
      <c r="I3" s="154" t="s">
        <v>649</v>
      </c>
    </row>
    <row r="4" spans="1:16" ht="13.5" hidden="1" customHeight="1" x14ac:dyDescent="0.25">
      <c r="A4" s="1359" t="s">
        <v>536</v>
      </c>
      <c r="B4" s="1359"/>
      <c r="C4" s="1359"/>
      <c r="D4" s="1359"/>
      <c r="E4" s="1359"/>
      <c r="F4" s="1359"/>
      <c r="G4" s="1359"/>
      <c r="H4" s="1359"/>
      <c r="I4" s="1359"/>
      <c r="J4" s="1359"/>
      <c r="K4" s="1359"/>
      <c r="L4" s="1359"/>
      <c r="M4" s="1359"/>
      <c r="N4" s="1359"/>
      <c r="O4" s="1359"/>
      <c r="P4" s="1359"/>
    </row>
    <row r="5" spans="1:16" ht="13.5" hidden="1" customHeight="1" x14ac:dyDescent="0.25">
      <c r="A5" s="1360" t="s">
        <v>613</v>
      </c>
      <c r="B5" s="1360"/>
      <c r="C5" s="1360"/>
      <c r="D5" s="1360"/>
      <c r="E5" s="1360"/>
      <c r="F5" s="1360"/>
      <c r="G5" s="1360"/>
      <c r="H5" s="1360"/>
      <c r="I5" s="1360"/>
      <c r="J5" s="1360"/>
      <c r="K5" s="1360"/>
      <c r="L5" s="1360"/>
      <c r="M5" s="1360"/>
      <c r="N5" s="1360"/>
      <c r="O5" s="1360"/>
      <c r="P5" s="1360"/>
    </row>
    <row r="6" spans="1:16" ht="15.6" hidden="1" x14ac:dyDescent="0.25">
      <c r="A6" s="75">
        <v>1150300000</v>
      </c>
    </row>
    <row r="7" spans="1:16" ht="15.6" hidden="1" x14ac:dyDescent="0.25">
      <c r="A7" s="157" t="s">
        <v>252</v>
      </c>
    </row>
    <row r="8" spans="1:16" ht="13.8" hidden="1" thickBot="1" x14ac:dyDescent="0.3">
      <c r="O8" s="135" t="s">
        <v>545</v>
      </c>
    </row>
    <row r="9" spans="1:16" ht="222.75" hidden="1" customHeight="1" thickBot="1" x14ac:dyDescent="0.3">
      <c r="A9" s="1361" t="s">
        <v>251</v>
      </c>
      <c r="B9" s="1364" t="s">
        <v>250</v>
      </c>
      <c r="C9" s="1364" t="s">
        <v>249</v>
      </c>
      <c r="D9" s="1364" t="s">
        <v>537</v>
      </c>
      <c r="E9" s="1355" t="s">
        <v>538</v>
      </c>
      <c r="F9" s="1367"/>
      <c r="G9" s="1367"/>
      <c r="H9" s="1356"/>
      <c r="I9" s="1355" t="s">
        <v>539</v>
      </c>
      <c r="J9" s="1367"/>
      <c r="K9" s="1367"/>
      <c r="L9" s="1356"/>
      <c r="M9" s="1355" t="s">
        <v>540</v>
      </c>
      <c r="N9" s="1367"/>
      <c r="O9" s="1367"/>
      <c r="P9" s="1356"/>
    </row>
    <row r="10" spans="1:16" ht="16.2" hidden="1" thickBot="1" x14ac:dyDescent="0.3">
      <c r="A10" s="1362"/>
      <c r="B10" s="1365"/>
      <c r="C10" s="1365"/>
      <c r="D10" s="1365"/>
      <c r="E10" s="1357" t="s">
        <v>541</v>
      </c>
      <c r="F10" s="1355" t="s">
        <v>542</v>
      </c>
      <c r="G10" s="1356"/>
      <c r="H10" s="1357" t="s">
        <v>359</v>
      </c>
      <c r="I10" s="1357" t="s">
        <v>541</v>
      </c>
      <c r="J10" s="1355" t="s">
        <v>542</v>
      </c>
      <c r="K10" s="1356"/>
      <c r="L10" s="1357" t="s">
        <v>359</v>
      </c>
      <c r="M10" s="1357" t="s">
        <v>541</v>
      </c>
      <c r="N10" s="1355" t="s">
        <v>542</v>
      </c>
      <c r="O10" s="1356"/>
      <c r="P10" s="1357" t="s">
        <v>359</v>
      </c>
    </row>
    <row r="11" spans="1:16" ht="96" hidden="1" thickBot="1" x14ac:dyDescent="0.3">
      <c r="A11" s="1363"/>
      <c r="B11" s="1366"/>
      <c r="C11" s="1366"/>
      <c r="D11" s="1366"/>
      <c r="E11" s="1358"/>
      <c r="F11" s="137" t="s">
        <v>243</v>
      </c>
      <c r="G11" s="137" t="s">
        <v>242</v>
      </c>
      <c r="H11" s="1358"/>
      <c r="I11" s="1358"/>
      <c r="J11" s="137" t="s">
        <v>243</v>
      </c>
      <c r="K11" s="137" t="s">
        <v>242</v>
      </c>
      <c r="L11" s="1358"/>
      <c r="M11" s="1358"/>
      <c r="N11" s="137" t="s">
        <v>243</v>
      </c>
      <c r="O11" s="137" t="s">
        <v>242</v>
      </c>
      <c r="P11" s="1358"/>
    </row>
    <row r="12" spans="1:16" ht="16.2" hidden="1" thickBot="1" x14ac:dyDescent="0.3">
      <c r="A12" s="138">
        <v>1</v>
      </c>
      <c r="B12" s="139">
        <v>2</v>
      </c>
      <c r="C12" s="139">
        <v>3</v>
      </c>
      <c r="D12" s="139">
        <v>4</v>
      </c>
      <c r="E12" s="139">
        <v>5</v>
      </c>
      <c r="F12" s="139">
        <v>6</v>
      </c>
      <c r="G12" s="139">
        <v>7</v>
      </c>
      <c r="H12" s="139">
        <v>8</v>
      </c>
      <c r="I12" s="139">
        <v>9</v>
      </c>
      <c r="J12" s="139">
        <v>10</v>
      </c>
      <c r="K12" s="139">
        <v>11</v>
      </c>
      <c r="L12" s="139">
        <v>12</v>
      </c>
      <c r="M12" s="139">
        <v>13</v>
      </c>
      <c r="N12" s="139">
        <v>14</v>
      </c>
      <c r="O12" s="139">
        <v>15</v>
      </c>
      <c r="P12" s="139">
        <v>16</v>
      </c>
    </row>
    <row r="13" spans="1:16" ht="16.2" hidden="1" thickBot="1" x14ac:dyDescent="0.3">
      <c r="A13" s="138" t="s">
        <v>159</v>
      </c>
      <c r="B13" s="138" t="s">
        <v>159</v>
      </c>
      <c r="C13" s="138" t="s">
        <v>159</v>
      </c>
      <c r="D13" s="138" t="s">
        <v>159</v>
      </c>
      <c r="E13" s="138" t="s">
        <v>159</v>
      </c>
      <c r="F13" s="138" t="s">
        <v>159</v>
      </c>
      <c r="G13" s="138" t="s">
        <v>159</v>
      </c>
      <c r="H13" s="138" t="s">
        <v>159</v>
      </c>
      <c r="I13" s="138" t="s">
        <v>159</v>
      </c>
      <c r="J13" s="138" t="s">
        <v>159</v>
      </c>
      <c r="K13" s="138" t="s">
        <v>159</v>
      </c>
      <c r="L13" s="138" t="s">
        <v>159</v>
      </c>
      <c r="M13" s="138" t="s">
        <v>159</v>
      </c>
      <c r="N13" s="138" t="s">
        <v>159</v>
      </c>
      <c r="O13" s="138" t="s">
        <v>159</v>
      </c>
      <c r="P13" s="138" t="s">
        <v>159</v>
      </c>
    </row>
    <row r="14" spans="1:16" ht="16.2" hidden="1" thickBot="1" x14ac:dyDescent="0.3">
      <c r="A14" s="138" t="s">
        <v>532</v>
      </c>
      <c r="B14" s="139" t="s">
        <v>532</v>
      </c>
      <c r="C14" s="139" t="s">
        <v>532</v>
      </c>
      <c r="D14" s="140" t="s">
        <v>3</v>
      </c>
      <c r="E14" s="139" t="s">
        <v>400</v>
      </c>
      <c r="F14" s="139" t="s">
        <v>400</v>
      </c>
      <c r="G14" s="139" t="s">
        <v>400</v>
      </c>
      <c r="H14" s="139" t="s">
        <v>400</v>
      </c>
      <c r="I14" s="139" t="s">
        <v>400</v>
      </c>
      <c r="J14" s="139" t="s">
        <v>400</v>
      </c>
      <c r="K14" s="139" t="s">
        <v>400</v>
      </c>
      <c r="L14" s="139" t="s">
        <v>400</v>
      </c>
      <c r="M14" s="139" t="s">
        <v>400</v>
      </c>
      <c r="N14" s="139" t="s">
        <v>400</v>
      </c>
      <c r="O14" s="139" t="s">
        <v>400</v>
      </c>
      <c r="P14" s="139" t="s">
        <v>400</v>
      </c>
    </row>
    <row r="15" spans="1:16" hidden="1" x14ac:dyDescent="0.25"/>
    <row r="16" spans="1:16" ht="56.25" hidden="1" customHeight="1" x14ac:dyDescent="0.25"/>
    <row r="17" spans="1:22" s="146" customFormat="1" ht="15.6" hidden="1" x14ac:dyDescent="0.3">
      <c r="A17" s="147" t="s">
        <v>1</v>
      </c>
      <c r="F17" s="147" t="s">
        <v>650</v>
      </c>
      <c r="J17" s="148"/>
      <c r="K17" s="149"/>
      <c r="L17" s="149"/>
      <c r="M17" s="149"/>
      <c r="N17" s="149"/>
      <c r="O17" s="149"/>
      <c r="P17" s="149"/>
      <c r="Q17" s="149"/>
      <c r="R17" s="149"/>
      <c r="S17" s="149"/>
      <c r="T17" s="149"/>
      <c r="U17" s="149"/>
      <c r="V17" s="149"/>
    </row>
  </sheetData>
  <mergeCells count="18">
    <mergeCell ref="M10:M11"/>
    <mergeCell ref="A4:P4"/>
    <mergeCell ref="A5:P5"/>
    <mergeCell ref="A9:A11"/>
    <mergeCell ref="B9:B11"/>
    <mergeCell ref="C9:C11"/>
    <mergeCell ref="D9:D11"/>
    <mergeCell ref="E9:H9"/>
    <mergeCell ref="I9:L9"/>
    <mergeCell ref="M9:P9"/>
    <mergeCell ref="E10:E11"/>
    <mergeCell ref="N10:O10"/>
    <mergeCell ref="P10:P11"/>
    <mergeCell ref="F10:G10"/>
    <mergeCell ref="H10:H11"/>
    <mergeCell ref="I10:I11"/>
    <mergeCell ref="J10:K10"/>
    <mergeCell ref="L10:L11"/>
  </mergeCells>
  <pageMargins left="0.51181102362204722" right="0.51181102362204722" top="1.1417322834645669" bottom="0.35433070866141736" header="0.31496062992125984" footer="0.31496062992125984"/>
  <pageSetup paperSize="9" scale="69" orientation="landscape"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V126"/>
  <sheetViews>
    <sheetView view="pageBreakPreview" zoomScaleNormal="100" zoomScaleSheetLayoutView="100" workbookViewId="0">
      <selection activeCell="C4" sqref="C4:D4"/>
    </sheetView>
  </sheetViews>
  <sheetFormatPr defaultColWidth="9.109375" defaultRowHeight="13.2" x14ac:dyDescent="0.25"/>
  <cols>
    <col min="1" max="1" width="14.77734375" style="135" customWidth="1"/>
    <col min="2" max="2" width="23.109375" style="135" customWidth="1"/>
    <col min="3" max="3" width="48.21875" style="135" customWidth="1"/>
    <col min="4" max="4" width="12.77734375" style="215" customWidth="1"/>
    <col min="5" max="7" width="9.109375" style="135"/>
    <col min="8" max="8" width="12.33203125" style="135" bestFit="1" customWidth="1"/>
    <col min="9" max="256" width="9.109375" style="135"/>
    <col min="257" max="257" width="21.44140625" style="135" customWidth="1"/>
    <col min="258" max="258" width="44" style="135" customWidth="1"/>
    <col min="259" max="259" width="38.44140625" style="135" customWidth="1"/>
    <col min="260" max="260" width="18.6640625" style="135" customWidth="1"/>
    <col min="261" max="263" width="9.109375" style="135"/>
    <col min="264" max="264" width="12.33203125" style="135" bestFit="1" customWidth="1"/>
    <col min="265" max="512" width="9.109375" style="135"/>
    <col min="513" max="513" width="21.44140625" style="135" customWidth="1"/>
    <col min="514" max="514" width="44" style="135" customWidth="1"/>
    <col min="515" max="515" width="38.44140625" style="135" customWidth="1"/>
    <col min="516" max="516" width="18.6640625" style="135" customWidth="1"/>
    <col min="517" max="519" width="9.109375" style="135"/>
    <col min="520" max="520" width="12.33203125" style="135" bestFit="1" customWidth="1"/>
    <col min="521" max="768" width="9.109375" style="135"/>
    <col min="769" max="769" width="21.44140625" style="135" customWidth="1"/>
    <col min="770" max="770" width="44" style="135" customWidth="1"/>
    <col min="771" max="771" width="38.44140625" style="135" customWidth="1"/>
    <col min="772" max="772" width="18.6640625" style="135" customWidth="1"/>
    <col min="773" max="775" width="9.109375" style="135"/>
    <col min="776" max="776" width="12.33203125" style="135" bestFit="1" customWidth="1"/>
    <col min="777" max="1024" width="9.109375" style="135"/>
    <col min="1025" max="1025" width="21.44140625" style="135" customWidth="1"/>
    <col min="1026" max="1026" width="44" style="135" customWidth="1"/>
    <col min="1027" max="1027" width="38.44140625" style="135" customWidth="1"/>
    <col min="1028" max="1028" width="18.6640625" style="135" customWidth="1"/>
    <col min="1029" max="1031" width="9.109375" style="135"/>
    <col min="1032" max="1032" width="12.33203125" style="135" bestFit="1" customWidth="1"/>
    <col min="1033" max="1280" width="9.109375" style="135"/>
    <col min="1281" max="1281" width="21.44140625" style="135" customWidth="1"/>
    <col min="1282" max="1282" width="44" style="135" customWidth="1"/>
    <col min="1283" max="1283" width="38.44140625" style="135" customWidth="1"/>
    <col min="1284" max="1284" width="18.6640625" style="135" customWidth="1"/>
    <col min="1285" max="1287" width="9.109375" style="135"/>
    <col min="1288" max="1288" width="12.33203125" style="135" bestFit="1" customWidth="1"/>
    <col min="1289" max="1536" width="9.109375" style="135"/>
    <col min="1537" max="1537" width="21.44140625" style="135" customWidth="1"/>
    <col min="1538" max="1538" width="44" style="135" customWidth="1"/>
    <col min="1539" max="1539" width="38.44140625" style="135" customWidth="1"/>
    <col min="1540" max="1540" width="18.6640625" style="135" customWidth="1"/>
    <col min="1541" max="1543" width="9.109375" style="135"/>
    <col min="1544" max="1544" width="12.33203125" style="135" bestFit="1" customWidth="1"/>
    <col min="1545" max="1792" width="9.109375" style="135"/>
    <col min="1793" max="1793" width="21.44140625" style="135" customWidth="1"/>
    <col min="1794" max="1794" width="44" style="135" customWidth="1"/>
    <col min="1795" max="1795" width="38.44140625" style="135" customWidth="1"/>
    <col min="1796" max="1796" width="18.6640625" style="135" customWidth="1"/>
    <col min="1797" max="1799" width="9.109375" style="135"/>
    <col min="1800" max="1800" width="12.33203125" style="135" bestFit="1" customWidth="1"/>
    <col min="1801" max="2048" width="9.109375" style="135"/>
    <col min="2049" max="2049" width="21.44140625" style="135" customWidth="1"/>
    <col min="2050" max="2050" width="44" style="135" customWidth="1"/>
    <col min="2051" max="2051" width="38.44140625" style="135" customWidth="1"/>
    <col min="2052" max="2052" width="18.6640625" style="135" customWidth="1"/>
    <col min="2053" max="2055" width="9.109375" style="135"/>
    <col min="2056" max="2056" width="12.33203125" style="135" bestFit="1" customWidth="1"/>
    <col min="2057" max="2304" width="9.109375" style="135"/>
    <col min="2305" max="2305" width="21.44140625" style="135" customWidth="1"/>
    <col min="2306" max="2306" width="44" style="135" customWidth="1"/>
    <col min="2307" max="2307" width="38.44140625" style="135" customWidth="1"/>
    <col min="2308" max="2308" width="18.6640625" style="135" customWidth="1"/>
    <col min="2309" max="2311" width="9.109375" style="135"/>
    <col min="2312" max="2312" width="12.33203125" style="135" bestFit="1" customWidth="1"/>
    <col min="2313" max="2560" width="9.109375" style="135"/>
    <col min="2561" max="2561" width="21.44140625" style="135" customWidth="1"/>
    <col min="2562" max="2562" width="44" style="135" customWidth="1"/>
    <col min="2563" max="2563" width="38.44140625" style="135" customWidth="1"/>
    <col min="2564" max="2564" width="18.6640625" style="135" customWidth="1"/>
    <col min="2565" max="2567" width="9.109375" style="135"/>
    <col min="2568" max="2568" width="12.33203125" style="135" bestFit="1" customWidth="1"/>
    <col min="2569" max="2816" width="9.109375" style="135"/>
    <col min="2817" max="2817" width="21.44140625" style="135" customWidth="1"/>
    <col min="2818" max="2818" width="44" style="135" customWidth="1"/>
    <col min="2819" max="2819" width="38.44140625" style="135" customWidth="1"/>
    <col min="2820" max="2820" width="18.6640625" style="135" customWidth="1"/>
    <col min="2821" max="2823" width="9.109375" style="135"/>
    <col min="2824" max="2824" width="12.33203125" style="135" bestFit="1" customWidth="1"/>
    <col min="2825" max="3072" width="9.109375" style="135"/>
    <col min="3073" max="3073" width="21.44140625" style="135" customWidth="1"/>
    <col min="3074" max="3074" width="44" style="135" customWidth="1"/>
    <col min="3075" max="3075" width="38.44140625" style="135" customWidth="1"/>
    <col min="3076" max="3076" width="18.6640625" style="135" customWidth="1"/>
    <col min="3077" max="3079" width="9.109375" style="135"/>
    <col min="3080" max="3080" width="12.33203125" style="135" bestFit="1" customWidth="1"/>
    <col min="3081" max="3328" width="9.109375" style="135"/>
    <col min="3329" max="3329" width="21.44140625" style="135" customWidth="1"/>
    <col min="3330" max="3330" width="44" style="135" customWidth="1"/>
    <col min="3331" max="3331" width="38.44140625" style="135" customWidth="1"/>
    <col min="3332" max="3332" width="18.6640625" style="135" customWidth="1"/>
    <col min="3333" max="3335" width="9.109375" style="135"/>
    <col min="3336" max="3336" width="12.33203125" style="135" bestFit="1" customWidth="1"/>
    <col min="3337" max="3584" width="9.109375" style="135"/>
    <col min="3585" max="3585" width="21.44140625" style="135" customWidth="1"/>
    <col min="3586" max="3586" width="44" style="135" customWidth="1"/>
    <col min="3587" max="3587" width="38.44140625" style="135" customWidth="1"/>
    <col min="3588" max="3588" width="18.6640625" style="135" customWidth="1"/>
    <col min="3589" max="3591" width="9.109375" style="135"/>
    <col min="3592" max="3592" width="12.33203125" style="135" bestFit="1" customWidth="1"/>
    <col min="3593" max="3840" width="9.109375" style="135"/>
    <col min="3841" max="3841" width="21.44140625" style="135" customWidth="1"/>
    <col min="3842" max="3842" width="44" style="135" customWidth="1"/>
    <col min="3843" max="3843" width="38.44140625" style="135" customWidth="1"/>
    <col min="3844" max="3844" width="18.6640625" style="135" customWidth="1"/>
    <col min="3845" max="3847" width="9.109375" style="135"/>
    <col min="3848" max="3848" width="12.33203125" style="135" bestFit="1" customWidth="1"/>
    <col min="3849" max="4096" width="9.109375" style="135"/>
    <col min="4097" max="4097" width="21.44140625" style="135" customWidth="1"/>
    <col min="4098" max="4098" width="44" style="135" customWidth="1"/>
    <col min="4099" max="4099" width="38.44140625" style="135" customWidth="1"/>
    <col min="4100" max="4100" width="18.6640625" style="135" customWidth="1"/>
    <col min="4101" max="4103" width="9.109375" style="135"/>
    <col min="4104" max="4104" width="12.33203125" style="135" bestFit="1" customWidth="1"/>
    <col min="4105" max="4352" width="9.109375" style="135"/>
    <col min="4353" max="4353" width="21.44140625" style="135" customWidth="1"/>
    <col min="4354" max="4354" width="44" style="135" customWidth="1"/>
    <col min="4355" max="4355" width="38.44140625" style="135" customWidth="1"/>
    <col min="4356" max="4356" width="18.6640625" style="135" customWidth="1"/>
    <col min="4357" max="4359" width="9.109375" style="135"/>
    <col min="4360" max="4360" width="12.33203125" style="135" bestFit="1" customWidth="1"/>
    <col min="4361" max="4608" width="9.109375" style="135"/>
    <col min="4609" max="4609" width="21.44140625" style="135" customWidth="1"/>
    <col min="4610" max="4610" width="44" style="135" customWidth="1"/>
    <col min="4611" max="4611" width="38.44140625" style="135" customWidth="1"/>
    <col min="4612" max="4612" width="18.6640625" style="135" customWidth="1"/>
    <col min="4613" max="4615" width="9.109375" style="135"/>
    <col min="4616" max="4616" width="12.33203125" style="135" bestFit="1" customWidth="1"/>
    <col min="4617" max="4864" width="9.109375" style="135"/>
    <col min="4865" max="4865" width="21.44140625" style="135" customWidth="1"/>
    <col min="4866" max="4866" width="44" style="135" customWidth="1"/>
    <col min="4867" max="4867" width="38.44140625" style="135" customWidth="1"/>
    <col min="4868" max="4868" width="18.6640625" style="135" customWidth="1"/>
    <col min="4869" max="4871" width="9.109375" style="135"/>
    <col min="4872" max="4872" width="12.33203125" style="135" bestFit="1" customWidth="1"/>
    <col min="4873" max="5120" width="9.109375" style="135"/>
    <col min="5121" max="5121" width="21.44140625" style="135" customWidth="1"/>
    <col min="5122" max="5122" width="44" style="135" customWidth="1"/>
    <col min="5123" max="5123" width="38.44140625" style="135" customWidth="1"/>
    <col min="5124" max="5124" width="18.6640625" style="135" customWidth="1"/>
    <col min="5125" max="5127" width="9.109375" style="135"/>
    <col min="5128" max="5128" width="12.33203125" style="135" bestFit="1" customWidth="1"/>
    <col min="5129" max="5376" width="9.109375" style="135"/>
    <col min="5377" max="5377" width="21.44140625" style="135" customWidth="1"/>
    <col min="5378" max="5378" width="44" style="135" customWidth="1"/>
    <col min="5379" max="5379" width="38.44140625" style="135" customWidth="1"/>
    <col min="5380" max="5380" width="18.6640625" style="135" customWidth="1"/>
    <col min="5381" max="5383" width="9.109375" style="135"/>
    <col min="5384" max="5384" width="12.33203125" style="135" bestFit="1" customWidth="1"/>
    <col min="5385" max="5632" width="9.109375" style="135"/>
    <col min="5633" max="5633" width="21.44140625" style="135" customWidth="1"/>
    <col min="5634" max="5634" width="44" style="135" customWidth="1"/>
    <col min="5635" max="5635" width="38.44140625" style="135" customWidth="1"/>
    <col min="5636" max="5636" width="18.6640625" style="135" customWidth="1"/>
    <col min="5637" max="5639" width="9.109375" style="135"/>
    <col min="5640" max="5640" width="12.33203125" style="135" bestFit="1" customWidth="1"/>
    <col min="5641" max="5888" width="9.109375" style="135"/>
    <col min="5889" max="5889" width="21.44140625" style="135" customWidth="1"/>
    <col min="5890" max="5890" width="44" style="135" customWidth="1"/>
    <col min="5891" max="5891" width="38.44140625" style="135" customWidth="1"/>
    <col min="5892" max="5892" width="18.6640625" style="135" customWidth="1"/>
    <col min="5893" max="5895" width="9.109375" style="135"/>
    <col min="5896" max="5896" width="12.33203125" style="135" bestFit="1" customWidth="1"/>
    <col min="5897" max="6144" width="9.109375" style="135"/>
    <col min="6145" max="6145" width="21.44140625" style="135" customWidth="1"/>
    <col min="6146" max="6146" width="44" style="135" customWidth="1"/>
    <col min="6147" max="6147" width="38.44140625" style="135" customWidth="1"/>
    <col min="6148" max="6148" width="18.6640625" style="135" customWidth="1"/>
    <col min="6149" max="6151" width="9.109375" style="135"/>
    <col min="6152" max="6152" width="12.33203125" style="135" bestFit="1" customWidth="1"/>
    <col min="6153" max="6400" width="9.109375" style="135"/>
    <col min="6401" max="6401" width="21.44140625" style="135" customWidth="1"/>
    <col min="6402" max="6402" width="44" style="135" customWidth="1"/>
    <col min="6403" max="6403" width="38.44140625" style="135" customWidth="1"/>
    <col min="6404" max="6404" width="18.6640625" style="135" customWidth="1"/>
    <col min="6405" max="6407" width="9.109375" style="135"/>
    <col min="6408" max="6408" width="12.33203125" style="135" bestFit="1" customWidth="1"/>
    <col min="6409" max="6656" width="9.109375" style="135"/>
    <col min="6657" max="6657" width="21.44140625" style="135" customWidth="1"/>
    <col min="6658" max="6658" width="44" style="135" customWidth="1"/>
    <col min="6659" max="6659" width="38.44140625" style="135" customWidth="1"/>
    <col min="6660" max="6660" width="18.6640625" style="135" customWidth="1"/>
    <col min="6661" max="6663" width="9.109375" style="135"/>
    <col min="6664" max="6664" width="12.33203125" style="135" bestFit="1" customWidth="1"/>
    <col min="6665" max="6912" width="9.109375" style="135"/>
    <col min="6913" max="6913" width="21.44140625" style="135" customWidth="1"/>
    <col min="6914" max="6914" width="44" style="135" customWidth="1"/>
    <col min="6915" max="6915" width="38.44140625" style="135" customWidth="1"/>
    <col min="6916" max="6916" width="18.6640625" style="135" customWidth="1"/>
    <col min="6917" max="6919" width="9.109375" style="135"/>
    <col min="6920" max="6920" width="12.33203125" style="135" bestFit="1" customWidth="1"/>
    <col min="6921" max="7168" width="9.109375" style="135"/>
    <col min="7169" max="7169" width="21.44140625" style="135" customWidth="1"/>
    <col min="7170" max="7170" width="44" style="135" customWidth="1"/>
    <col min="7171" max="7171" width="38.44140625" style="135" customWidth="1"/>
    <col min="7172" max="7172" width="18.6640625" style="135" customWidth="1"/>
    <col min="7173" max="7175" width="9.109375" style="135"/>
    <col min="7176" max="7176" width="12.33203125" style="135" bestFit="1" customWidth="1"/>
    <col min="7177" max="7424" width="9.109375" style="135"/>
    <col min="7425" max="7425" width="21.44140625" style="135" customWidth="1"/>
    <col min="7426" max="7426" width="44" style="135" customWidth="1"/>
    <col min="7427" max="7427" width="38.44140625" style="135" customWidth="1"/>
    <col min="7428" max="7428" width="18.6640625" style="135" customWidth="1"/>
    <col min="7429" max="7431" width="9.109375" style="135"/>
    <col min="7432" max="7432" width="12.33203125" style="135" bestFit="1" customWidth="1"/>
    <col min="7433" max="7680" width="9.109375" style="135"/>
    <col min="7681" max="7681" width="21.44140625" style="135" customWidth="1"/>
    <col min="7682" max="7682" width="44" style="135" customWidth="1"/>
    <col min="7683" max="7683" width="38.44140625" style="135" customWidth="1"/>
    <col min="7684" max="7684" width="18.6640625" style="135" customWidth="1"/>
    <col min="7685" max="7687" width="9.109375" style="135"/>
    <col min="7688" max="7688" width="12.33203125" style="135" bestFit="1" customWidth="1"/>
    <col min="7689" max="7936" width="9.109375" style="135"/>
    <col min="7937" max="7937" width="21.44140625" style="135" customWidth="1"/>
    <col min="7938" max="7938" width="44" style="135" customWidth="1"/>
    <col min="7939" max="7939" width="38.44140625" style="135" customWidth="1"/>
    <col min="7940" max="7940" width="18.6640625" style="135" customWidth="1"/>
    <col min="7941" max="7943" width="9.109375" style="135"/>
    <col min="7944" max="7944" width="12.33203125" style="135" bestFit="1" customWidth="1"/>
    <col min="7945" max="8192" width="9.109375" style="135"/>
    <col min="8193" max="8193" width="21.44140625" style="135" customWidth="1"/>
    <col min="8194" max="8194" width="44" style="135" customWidth="1"/>
    <col min="8195" max="8195" width="38.44140625" style="135" customWidth="1"/>
    <col min="8196" max="8196" width="18.6640625" style="135" customWidth="1"/>
    <col min="8197" max="8199" width="9.109375" style="135"/>
    <col min="8200" max="8200" width="12.33203125" style="135" bestFit="1" customWidth="1"/>
    <col min="8201" max="8448" width="9.109375" style="135"/>
    <col min="8449" max="8449" width="21.44140625" style="135" customWidth="1"/>
    <col min="8450" max="8450" width="44" style="135" customWidth="1"/>
    <col min="8451" max="8451" width="38.44140625" style="135" customWidth="1"/>
    <col min="8452" max="8452" width="18.6640625" style="135" customWidth="1"/>
    <col min="8453" max="8455" width="9.109375" style="135"/>
    <col min="8456" max="8456" width="12.33203125" style="135" bestFit="1" customWidth="1"/>
    <col min="8457" max="8704" width="9.109375" style="135"/>
    <col min="8705" max="8705" width="21.44140625" style="135" customWidth="1"/>
    <col min="8706" max="8706" width="44" style="135" customWidth="1"/>
    <col min="8707" max="8707" width="38.44140625" style="135" customWidth="1"/>
    <col min="8708" max="8708" width="18.6640625" style="135" customWidth="1"/>
    <col min="8709" max="8711" width="9.109375" style="135"/>
    <col min="8712" max="8712" width="12.33203125" style="135" bestFit="1" customWidth="1"/>
    <col min="8713" max="8960" width="9.109375" style="135"/>
    <col min="8961" max="8961" width="21.44140625" style="135" customWidth="1"/>
    <col min="8962" max="8962" width="44" style="135" customWidth="1"/>
    <col min="8963" max="8963" width="38.44140625" style="135" customWidth="1"/>
    <col min="8964" max="8964" width="18.6640625" style="135" customWidth="1"/>
    <col min="8965" max="8967" width="9.109375" style="135"/>
    <col min="8968" max="8968" width="12.33203125" style="135" bestFit="1" customWidth="1"/>
    <col min="8969" max="9216" width="9.109375" style="135"/>
    <col min="9217" max="9217" width="21.44140625" style="135" customWidth="1"/>
    <col min="9218" max="9218" width="44" style="135" customWidth="1"/>
    <col min="9219" max="9219" width="38.44140625" style="135" customWidth="1"/>
    <col min="9220" max="9220" width="18.6640625" style="135" customWidth="1"/>
    <col min="9221" max="9223" width="9.109375" style="135"/>
    <col min="9224" max="9224" width="12.33203125" style="135" bestFit="1" customWidth="1"/>
    <col min="9225" max="9472" width="9.109375" style="135"/>
    <col min="9473" max="9473" width="21.44140625" style="135" customWidth="1"/>
    <col min="9474" max="9474" width="44" style="135" customWidth="1"/>
    <col min="9475" max="9475" width="38.44140625" style="135" customWidth="1"/>
    <col min="9476" max="9476" width="18.6640625" style="135" customWidth="1"/>
    <col min="9477" max="9479" width="9.109375" style="135"/>
    <col min="9480" max="9480" width="12.33203125" style="135" bestFit="1" customWidth="1"/>
    <col min="9481" max="9728" width="9.109375" style="135"/>
    <col min="9729" max="9729" width="21.44140625" style="135" customWidth="1"/>
    <col min="9730" max="9730" width="44" style="135" customWidth="1"/>
    <col min="9731" max="9731" width="38.44140625" style="135" customWidth="1"/>
    <col min="9732" max="9732" width="18.6640625" style="135" customWidth="1"/>
    <col min="9733" max="9735" width="9.109375" style="135"/>
    <col min="9736" max="9736" width="12.33203125" style="135" bestFit="1" customWidth="1"/>
    <col min="9737" max="9984" width="9.109375" style="135"/>
    <col min="9985" max="9985" width="21.44140625" style="135" customWidth="1"/>
    <col min="9986" max="9986" width="44" style="135" customWidth="1"/>
    <col min="9987" max="9987" width="38.44140625" style="135" customWidth="1"/>
    <col min="9988" max="9988" width="18.6640625" style="135" customWidth="1"/>
    <col min="9989" max="9991" width="9.109375" style="135"/>
    <col min="9992" max="9992" width="12.33203125" style="135" bestFit="1" customWidth="1"/>
    <col min="9993" max="10240" width="9.109375" style="135"/>
    <col min="10241" max="10241" width="21.44140625" style="135" customWidth="1"/>
    <col min="10242" max="10242" width="44" style="135" customWidth="1"/>
    <col min="10243" max="10243" width="38.44140625" style="135" customWidth="1"/>
    <col min="10244" max="10244" width="18.6640625" style="135" customWidth="1"/>
    <col min="10245" max="10247" width="9.109375" style="135"/>
    <col min="10248" max="10248" width="12.33203125" style="135" bestFit="1" customWidth="1"/>
    <col min="10249" max="10496" width="9.109375" style="135"/>
    <col min="10497" max="10497" width="21.44140625" style="135" customWidth="1"/>
    <col min="10498" max="10498" width="44" style="135" customWidth="1"/>
    <col min="10499" max="10499" width="38.44140625" style="135" customWidth="1"/>
    <col min="10500" max="10500" width="18.6640625" style="135" customWidth="1"/>
    <col min="10501" max="10503" width="9.109375" style="135"/>
    <col min="10504" max="10504" width="12.33203125" style="135" bestFit="1" customWidth="1"/>
    <col min="10505" max="10752" width="9.109375" style="135"/>
    <col min="10753" max="10753" width="21.44140625" style="135" customWidth="1"/>
    <col min="10754" max="10754" width="44" style="135" customWidth="1"/>
    <col min="10755" max="10755" width="38.44140625" style="135" customWidth="1"/>
    <col min="10756" max="10756" width="18.6640625" style="135" customWidth="1"/>
    <col min="10757" max="10759" width="9.109375" style="135"/>
    <col min="10760" max="10760" width="12.33203125" style="135" bestFit="1" customWidth="1"/>
    <col min="10761" max="11008" width="9.109375" style="135"/>
    <col min="11009" max="11009" width="21.44140625" style="135" customWidth="1"/>
    <col min="11010" max="11010" width="44" style="135" customWidth="1"/>
    <col min="11011" max="11011" width="38.44140625" style="135" customWidth="1"/>
    <col min="11012" max="11012" width="18.6640625" style="135" customWidth="1"/>
    <col min="11013" max="11015" width="9.109375" style="135"/>
    <col min="11016" max="11016" width="12.33203125" style="135" bestFit="1" customWidth="1"/>
    <col min="11017" max="11264" width="9.109375" style="135"/>
    <col min="11265" max="11265" width="21.44140625" style="135" customWidth="1"/>
    <col min="11266" max="11266" width="44" style="135" customWidth="1"/>
    <col min="11267" max="11267" width="38.44140625" style="135" customWidth="1"/>
    <col min="11268" max="11268" width="18.6640625" style="135" customWidth="1"/>
    <col min="11269" max="11271" width="9.109375" style="135"/>
    <col min="11272" max="11272" width="12.33203125" style="135" bestFit="1" customWidth="1"/>
    <col min="11273" max="11520" width="9.109375" style="135"/>
    <col min="11521" max="11521" width="21.44140625" style="135" customWidth="1"/>
    <col min="11522" max="11522" width="44" style="135" customWidth="1"/>
    <col min="11523" max="11523" width="38.44140625" style="135" customWidth="1"/>
    <col min="11524" max="11524" width="18.6640625" style="135" customWidth="1"/>
    <col min="11525" max="11527" width="9.109375" style="135"/>
    <col min="11528" max="11528" width="12.33203125" style="135" bestFit="1" customWidth="1"/>
    <col min="11529" max="11776" width="9.109375" style="135"/>
    <col min="11777" max="11777" width="21.44140625" style="135" customWidth="1"/>
    <col min="11778" max="11778" width="44" style="135" customWidth="1"/>
    <col min="11779" max="11779" width="38.44140625" style="135" customWidth="1"/>
    <col min="11780" max="11780" width="18.6640625" style="135" customWidth="1"/>
    <col min="11781" max="11783" width="9.109375" style="135"/>
    <col min="11784" max="11784" width="12.33203125" style="135" bestFit="1" customWidth="1"/>
    <col min="11785" max="12032" width="9.109375" style="135"/>
    <col min="12033" max="12033" width="21.44140625" style="135" customWidth="1"/>
    <col min="12034" max="12034" width="44" style="135" customWidth="1"/>
    <col min="12035" max="12035" width="38.44140625" style="135" customWidth="1"/>
    <col min="12036" max="12036" width="18.6640625" style="135" customWidth="1"/>
    <col min="12037" max="12039" width="9.109375" style="135"/>
    <col min="12040" max="12040" width="12.33203125" style="135" bestFit="1" customWidth="1"/>
    <col min="12041" max="12288" width="9.109375" style="135"/>
    <col min="12289" max="12289" width="21.44140625" style="135" customWidth="1"/>
    <col min="12290" max="12290" width="44" style="135" customWidth="1"/>
    <col min="12291" max="12291" width="38.44140625" style="135" customWidth="1"/>
    <col min="12292" max="12292" width="18.6640625" style="135" customWidth="1"/>
    <col min="12293" max="12295" width="9.109375" style="135"/>
    <col min="12296" max="12296" width="12.33203125" style="135" bestFit="1" customWidth="1"/>
    <col min="12297" max="12544" width="9.109375" style="135"/>
    <col min="12545" max="12545" width="21.44140625" style="135" customWidth="1"/>
    <col min="12546" max="12546" width="44" style="135" customWidth="1"/>
    <col min="12547" max="12547" width="38.44140625" style="135" customWidth="1"/>
    <col min="12548" max="12548" width="18.6640625" style="135" customWidth="1"/>
    <col min="12549" max="12551" width="9.109375" style="135"/>
    <col min="12552" max="12552" width="12.33203125" style="135" bestFit="1" customWidth="1"/>
    <col min="12553" max="12800" width="9.109375" style="135"/>
    <col min="12801" max="12801" width="21.44140625" style="135" customWidth="1"/>
    <col min="12802" max="12802" width="44" style="135" customWidth="1"/>
    <col min="12803" max="12803" width="38.44140625" style="135" customWidth="1"/>
    <col min="12804" max="12804" width="18.6640625" style="135" customWidth="1"/>
    <col min="12805" max="12807" width="9.109375" style="135"/>
    <col min="12808" max="12808" width="12.33203125" style="135" bestFit="1" customWidth="1"/>
    <col min="12809" max="13056" width="9.109375" style="135"/>
    <col min="13057" max="13057" width="21.44140625" style="135" customWidth="1"/>
    <col min="13058" max="13058" width="44" style="135" customWidth="1"/>
    <col min="13059" max="13059" width="38.44140625" style="135" customWidth="1"/>
    <col min="13060" max="13060" width="18.6640625" style="135" customWidth="1"/>
    <col min="13061" max="13063" width="9.109375" style="135"/>
    <col min="13064" max="13064" width="12.33203125" style="135" bestFit="1" customWidth="1"/>
    <col min="13065" max="13312" width="9.109375" style="135"/>
    <col min="13313" max="13313" width="21.44140625" style="135" customWidth="1"/>
    <col min="13314" max="13314" width="44" style="135" customWidth="1"/>
    <col min="13315" max="13315" width="38.44140625" style="135" customWidth="1"/>
    <col min="13316" max="13316" width="18.6640625" style="135" customWidth="1"/>
    <col min="13317" max="13319" width="9.109375" style="135"/>
    <col min="13320" max="13320" width="12.33203125" style="135" bestFit="1" customWidth="1"/>
    <col min="13321" max="13568" width="9.109375" style="135"/>
    <col min="13569" max="13569" width="21.44140625" style="135" customWidth="1"/>
    <col min="13570" max="13570" width="44" style="135" customWidth="1"/>
    <col min="13571" max="13571" width="38.44140625" style="135" customWidth="1"/>
    <col min="13572" max="13572" width="18.6640625" style="135" customWidth="1"/>
    <col min="13573" max="13575" width="9.109375" style="135"/>
    <col min="13576" max="13576" width="12.33203125" style="135" bestFit="1" customWidth="1"/>
    <col min="13577" max="13824" width="9.109375" style="135"/>
    <col min="13825" max="13825" width="21.44140625" style="135" customWidth="1"/>
    <col min="13826" max="13826" width="44" style="135" customWidth="1"/>
    <col min="13827" max="13827" width="38.44140625" style="135" customWidth="1"/>
    <col min="13828" max="13828" width="18.6640625" style="135" customWidth="1"/>
    <col min="13829" max="13831" width="9.109375" style="135"/>
    <col min="13832" max="13832" width="12.33203125" style="135" bestFit="1" customWidth="1"/>
    <col min="13833" max="14080" width="9.109375" style="135"/>
    <col min="14081" max="14081" width="21.44140625" style="135" customWidth="1"/>
    <col min="14082" max="14082" width="44" style="135" customWidth="1"/>
    <col min="14083" max="14083" width="38.44140625" style="135" customWidth="1"/>
    <col min="14084" max="14084" width="18.6640625" style="135" customWidth="1"/>
    <col min="14085" max="14087" width="9.109375" style="135"/>
    <col min="14088" max="14088" width="12.33203125" style="135" bestFit="1" customWidth="1"/>
    <col min="14089" max="14336" width="9.109375" style="135"/>
    <col min="14337" max="14337" width="21.44140625" style="135" customWidth="1"/>
    <col min="14338" max="14338" width="44" style="135" customWidth="1"/>
    <col min="14339" max="14339" width="38.44140625" style="135" customWidth="1"/>
    <col min="14340" max="14340" width="18.6640625" style="135" customWidth="1"/>
    <col min="14341" max="14343" width="9.109375" style="135"/>
    <col min="14344" max="14344" width="12.33203125" style="135" bestFit="1" customWidth="1"/>
    <col min="14345" max="14592" width="9.109375" style="135"/>
    <col min="14593" max="14593" width="21.44140625" style="135" customWidth="1"/>
    <col min="14594" max="14594" width="44" style="135" customWidth="1"/>
    <col min="14595" max="14595" width="38.44140625" style="135" customWidth="1"/>
    <col min="14596" max="14596" width="18.6640625" style="135" customWidth="1"/>
    <col min="14597" max="14599" width="9.109375" style="135"/>
    <col min="14600" max="14600" width="12.33203125" style="135" bestFit="1" customWidth="1"/>
    <col min="14601" max="14848" width="9.109375" style="135"/>
    <col min="14849" max="14849" width="21.44140625" style="135" customWidth="1"/>
    <col min="14850" max="14850" width="44" style="135" customWidth="1"/>
    <col min="14851" max="14851" width="38.44140625" style="135" customWidth="1"/>
    <col min="14852" max="14852" width="18.6640625" style="135" customWidth="1"/>
    <col min="14853" max="14855" width="9.109375" style="135"/>
    <col min="14856" max="14856" width="12.33203125" style="135" bestFit="1" customWidth="1"/>
    <col min="14857" max="15104" width="9.109375" style="135"/>
    <col min="15105" max="15105" width="21.44140625" style="135" customWidth="1"/>
    <col min="15106" max="15106" width="44" style="135" customWidth="1"/>
    <col min="15107" max="15107" width="38.44140625" style="135" customWidth="1"/>
    <col min="15108" max="15108" width="18.6640625" style="135" customWidth="1"/>
    <col min="15109" max="15111" width="9.109375" style="135"/>
    <col min="15112" max="15112" width="12.33203125" style="135" bestFit="1" customWidth="1"/>
    <col min="15113" max="15360" width="9.109375" style="135"/>
    <col min="15361" max="15361" width="21.44140625" style="135" customWidth="1"/>
    <col min="15362" max="15362" width="44" style="135" customWidth="1"/>
    <col min="15363" max="15363" width="38.44140625" style="135" customWidth="1"/>
    <col min="15364" max="15364" width="18.6640625" style="135" customWidth="1"/>
    <col min="15365" max="15367" width="9.109375" style="135"/>
    <col min="15368" max="15368" width="12.33203125" style="135" bestFit="1" customWidth="1"/>
    <col min="15369" max="15616" width="9.109375" style="135"/>
    <col min="15617" max="15617" width="21.44140625" style="135" customWidth="1"/>
    <col min="15618" max="15618" width="44" style="135" customWidth="1"/>
    <col min="15619" max="15619" width="38.44140625" style="135" customWidth="1"/>
    <col min="15620" max="15620" width="18.6640625" style="135" customWidth="1"/>
    <col min="15621" max="15623" width="9.109375" style="135"/>
    <col min="15624" max="15624" width="12.33203125" style="135" bestFit="1" customWidth="1"/>
    <col min="15625" max="15872" width="9.109375" style="135"/>
    <col min="15873" max="15873" width="21.44140625" style="135" customWidth="1"/>
    <col min="15874" max="15874" width="44" style="135" customWidth="1"/>
    <col min="15875" max="15875" width="38.44140625" style="135" customWidth="1"/>
    <col min="15876" max="15876" width="18.6640625" style="135" customWidth="1"/>
    <col min="15877" max="15879" width="9.109375" style="135"/>
    <col min="15880" max="15880" width="12.33203125" style="135" bestFit="1" customWidth="1"/>
    <col min="15881" max="16128" width="9.109375" style="135"/>
    <col min="16129" max="16129" width="21.44140625" style="135" customWidth="1"/>
    <col min="16130" max="16130" width="44" style="135" customWidth="1"/>
    <col min="16131" max="16131" width="38.44140625" style="135" customWidth="1"/>
    <col min="16132" max="16132" width="18.6640625" style="135" customWidth="1"/>
    <col min="16133" max="16135" width="9.109375" style="135"/>
    <col min="16136" max="16136" width="12.33203125" style="135" bestFit="1" customWidth="1"/>
    <col min="16137" max="16384" width="9.109375" style="135"/>
  </cols>
  <sheetData>
    <row r="1" spans="1:7" ht="15.6" x14ac:dyDescent="0.3">
      <c r="A1" s="191"/>
      <c r="B1" s="192"/>
      <c r="C1" s="1392" t="s">
        <v>543</v>
      </c>
      <c r="D1" s="1392"/>
      <c r="E1" s="4"/>
      <c r="F1" s="4"/>
      <c r="G1" s="4"/>
    </row>
    <row r="2" spans="1:7" ht="15.6" x14ac:dyDescent="0.3">
      <c r="A2" s="192"/>
      <c r="B2" s="192"/>
      <c r="C2" s="1393" t="s">
        <v>612</v>
      </c>
      <c r="D2" s="1393"/>
      <c r="E2" s="193"/>
      <c r="F2" s="193"/>
      <c r="G2" s="4"/>
    </row>
    <row r="3" spans="1:7" ht="15.6" x14ac:dyDescent="0.3">
      <c r="A3" s="192"/>
      <c r="B3" s="192"/>
      <c r="C3" s="193" t="s">
        <v>1105</v>
      </c>
      <c r="D3" s="855"/>
      <c r="E3" s="193"/>
      <c r="F3" s="193"/>
      <c r="G3" s="4"/>
    </row>
    <row r="4" spans="1:7" ht="15.6" x14ac:dyDescent="0.3">
      <c r="A4" s="192"/>
      <c r="B4" s="192"/>
      <c r="C4" s="1393" t="s">
        <v>1462</v>
      </c>
      <c r="D4" s="1393"/>
      <c r="E4" s="4"/>
      <c r="F4" s="4"/>
      <c r="G4" s="4"/>
    </row>
    <row r="5" spans="1:7" ht="15.6" x14ac:dyDescent="0.3">
      <c r="A5" s="1394" t="s">
        <v>1093</v>
      </c>
      <c r="B5" s="1395"/>
      <c r="C5" s="1395"/>
      <c r="D5" s="1395"/>
      <c r="E5" s="192"/>
      <c r="F5" s="192"/>
      <c r="G5" s="192"/>
    </row>
    <row r="6" spans="1:7" ht="15.6" x14ac:dyDescent="0.3">
      <c r="A6" s="1396" t="s">
        <v>648</v>
      </c>
      <c r="B6" s="1395"/>
      <c r="C6" s="1395"/>
      <c r="D6" s="1395"/>
      <c r="E6" s="192"/>
      <c r="F6" s="192"/>
      <c r="G6" s="192"/>
    </row>
    <row r="7" spans="1:7" ht="13.8" x14ac:dyDescent="0.3">
      <c r="A7" s="1397" t="s">
        <v>252</v>
      </c>
      <c r="B7" s="1397"/>
      <c r="C7" s="1397"/>
      <c r="D7" s="1397"/>
      <c r="E7" s="192"/>
      <c r="F7" s="192"/>
      <c r="G7" s="192"/>
    </row>
    <row r="8" spans="1:7" ht="16.2" thickBot="1" x14ac:dyDescent="0.35">
      <c r="A8" s="194" t="s">
        <v>544</v>
      </c>
      <c r="B8" s="195"/>
      <c r="C8" s="195"/>
      <c r="D8" s="196" t="s">
        <v>614</v>
      </c>
      <c r="E8" s="192"/>
      <c r="F8" s="192"/>
      <c r="G8" s="192"/>
    </row>
    <row r="9" spans="1:7" ht="78" x14ac:dyDescent="0.3">
      <c r="A9" s="1087" t="s">
        <v>546</v>
      </c>
      <c r="B9" s="1398" t="s">
        <v>547</v>
      </c>
      <c r="C9" s="1399"/>
      <c r="D9" s="1088" t="s">
        <v>246</v>
      </c>
      <c r="E9" s="192"/>
      <c r="F9" s="192"/>
      <c r="G9" s="192"/>
    </row>
    <row r="10" spans="1:7" ht="15.6" x14ac:dyDescent="0.3">
      <c r="A10" s="1089">
        <v>1</v>
      </c>
      <c r="B10" s="1400">
        <v>2</v>
      </c>
      <c r="C10" s="1401"/>
      <c r="D10" s="1090">
        <v>3</v>
      </c>
      <c r="E10" s="192"/>
      <c r="F10" s="192"/>
      <c r="G10" s="192"/>
    </row>
    <row r="11" spans="1:7" ht="15.6" x14ac:dyDescent="0.3">
      <c r="A11" s="1402" t="s">
        <v>548</v>
      </c>
      <c r="B11" s="1403"/>
      <c r="C11" s="1403"/>
      <c r="D11" s="1404"/>
      <c r="E11" s="192"/>
      <c r="F11" s="192"/>
      <c r="G11" s="192"/>
    </row>
    <row r="12" spans="1:7" ht="15.6" x14ac:dyDescent="0.3">
      <c r="A12" s="1232" t="s">
        <v>1094</v>
      </c>
      <c r="B12" s="197" t="s">
        <v>1095</v>
      </c>
      <c r="C12" s="198"/>
      <c r="D12" s="1119">
        <f>D13</f>
        <v>1106300</v>
      </c>
      <c r="E12" s="192"/>
      <c r="F12" s="192"/>
      <c r="G12" s="192"/>
    </row>
    <row r="13" spans="1:7" ht="15.6" x14ac:dyDescent="0.3">
      <c r="A13" s="1091" t="s">
        <v>549</v>
      </c>
      <c r="B13" s="199" t="s">
        <v>550</v>
      </c>
      <c r="C13" s="200"/>
      <c r="D13" s="1163">
        <v>1106300</v>
      </c>
      <c r="E13" s="192"/>
      <c r="F13" s="192"/>
      <c r="G13" s="192"/>
    </row>
    <row r="14" spans="1:7" ht="31.2" hidden="1" x14ac:dyDescent="0.3">
      <c r="A14" s="1232">
        <v>41033100</v>
      </c>
      <c r="B14" s="197" t="s">
        <v>667</v>
      </c>
      <c r="C14" s="198"/>
      <c r="D14" s="1119">
        <f>D15</f>
        <v>0</v>
      </c>
      <c r="E14" s="192"/>
      <c r="F14" s="192"/>
      <c r="G14" s="192"/>
    </row>
    <row r="15" spans="1:7" ht="15.6" hidden="1" x14ac:dyDescent="0.3">
      <c r="A15" s="1091" t="s">
        <v>549</v>
      </c>
      <c r="B15" s="199" t="s">
        <v>550</v>
      </c>
      <c r="C15" s="200"/>
      <c r="D15" s="1163"/>
      <c r="E15" s="192"/>
      <c r="F15" s="192"/>
      <c r="G15" s="192"/>
    </row>
    <row r="16" spans="1:7" ht="15.6" x14ac:dyDescent="0.3">
      <c r="A16" s="1232" t="s">
        <v>389</v>
      </c>
      <c r="B16" s="197" t="s">
        <v>551</v>
      </c>
      <c r="C16" s="198"/>
      <c r="D16" s="1119">
        <f>D17</f>
        <v>32669500</v>
      </c>
      <c r="E16" s="192"/>
      <c r="F16" s="192"/>
      <c r="G16" s="192"/>
    </row>
    <row r="17" spans="1:7" ht="16.2" thickBot="1" x14ac:dyDescent="0.35">
      <c r="A17" s="1091" t="s">
        <v>549</v>
      </c>
      <c r="B17" s="199" t="s">
        <v>550</v>
      </c>
      <c r="C17" s="200"/>
      <c r="D17" s="1163">
        <v>32669500</v>
      </c>
      <c r="E17" s="192"/>
      <c r="F17" s="192"/>
      <c r="G17" s="192"/>
    </row>
    <row r="18" spans="1:7" ht="79.8" customHeight="1" thickBot="1" x14ac:dyDescent="0.35">
      <c r="A18" s="1267">
        <v>41035400</v>
      </c>
      <c r="B18" s="1390" t="s">
        <v>1163</v>
      </c>
      <c r="C18" s="1391"/>
      <c r="D18" s="1119">
        <f>D19</f>
        <v>188100</v>
      </c>
      <c r="E18" s="192"/>
      <c r="F18" s="192"/>
      <c r="G18" s="192"/>
    </row>
    <row r="19" spans="1:7" ht="15.6" x14ac:dyDescent="0.3">
      <c r="A19" s="1091" t="s">
        <v>549</v>
      </c>
      <c r="B19" s="199" t="s">
        <v>550</v>
      </c>
      <c r="C19" s="200"/>
      <c r="D19" s="1268">
        <v>188100</v>
      </c>
      <c r="E19" s="192"/>
      <c r="F19" s="192"/>
      <c r="G19" s="192"/>
    </row>
    <row r="20" spans="1:7" ht="49.2" customHeight="1" x14ac:dyDescent="0.3">
      <c r="A20" s="1229">
        <v>41036000</v>
      </c>
      <c r="B20" s="1406" t="s">
        <v>1117</v>
      </c>
      <c r="C20" s="1406"/>
      <c r="D20" s="1164">
        <f>D21</f>
        <v>1014400</v>
      </c>
      <c r="E20" s="192"/>
      <c r="F20" s="192"/>
      <c r="G20" s="192"/>
    </row>
    <row r="21" spans="1:7" ht="15.6" x14ac:dyDescent="0.3">
      <c r="A21" s="1091" t="s">
        <v>549</v>
      </c>
      <c r="B21" s="199" t="s">
        <v>550</v>
      </c>
      <c r="C21" s="200"/>
      <c r="D21" s="1162">
        <v>1014400</v>
      </c>
      <c r="E21" s="192"/>
      <c r="F21" s="192"/>
      <c r="G21" s="192"/>
    </row>
    <row r="22" spans="1:7" ht="46.8" x14ac:dyDescent="0.3">
      <c r="A22" s="1232">
        <v>41036300</v>
      </c>
      <c r="B22" s="197" t="s">
        <v>1116</v>
      </c>
      <c r="C22" s="198"/>
      <c r="D22" s="1119">
        <f>D23</f>
        <v>2788900</v>
      </c>
      <c r="E22" s="192"/>
      <c r="F22" s="192"/>
      <c r="G22" s="192"/>
    </row>
    <row r="23" spans="1:7" ht="15.6" x14ac:dyDescent="0.3">
      <c r="A23" s="1091" t="s">
        <v>549</v>
      </c>
      <c r="B23" s="199" t="s">
        <v>550</v>
      </c>
      <c r="C23" s="200"/>
      <c r="D23" s="1163">
        <v>2788900</v>
      </c>
      <c r="E23" s="192"/>
      <c r="F23" s="192"/>
      <c r="G23" s="192"/>
    </row>
    <row r="24" spans="1:7" ht="15.6" x14ac:dyDescent="0.3">
      <c r="A24" s="1232">
        <v>41040400</v>
      </c>
      <c r="B24" s="197" t="s">
        <v>668</v>
      </c>
      <c r="C24" s="198"/>
      <c r="D24" s="1119">
        <f>D25</f>
        <v>298539</v>
      </c>
      <c r="E24" s="192"/>
      <c r="F24" s="192"/>
      <c r="G24" s="192"/>
    </row>
    <row r="25" spans="1:7" ht="15.6" x14ac:dyDescent="0.3">
      <c r="A25" s="1091" t="s">
        <v>553</v>
      </c>
      <c r="B25" s="1368" t="s">
        <v>554</v>
      </c>
      <c r="C25" s="1369"/>
      <c r="D25" s="1163">
        <f>74148+124397+99994</f>
        <v>298539</v>
      </c>
      <c r="E25" s="192"/>
      <c r="F25" s="192"/>
      <c r="G25" s="192"/>
    </row>
    <row r="26" spans="1:7" ht="31.2" x14ac:dyDescent="0.25">
      <c r="A26" s="1232" t="s">
        <v>552</v>
      </c>
      <c r="B26" s="197" t="s">
        <v>395</v>
      </c>
      <c r="C26" s="198"/>
      <c r="D26" s="1119">
        <f>D27</f>
        <v>906600</v>
      </c>
    </row>
    <row r="27" spans="1:7" ht="15.6" x14ac:dyDescent="0.25">
      <c r="A27" s="1091" t="s">
        <v>553</v>
      </c>
      <c r="B27" s="1368" t="s">
        <v>554</v>
      </c>
      <c r="C27" s="1369"/>
      <c r="D27" s="1163">
        <v>906600</v>
      </c>
    </row>
    <row r="28" spans="1:7" ht="46.8" hidden="1" x14ac:dyDescent="0.25">
      <c r="A28" s="1232">
        <v>41051200</v>
      </c>
      <c r="B28" s="197" t="s">
        <v>397</v>
      </c>
      <c r="C28" s="198"/>
      <c r="D28" s="1119">
        <f>D29</f>
        <v>0</v>
      </c>
    </row>
    <row r="29" spans="1:7" ht="15.6" hidden="1" x14ac:dyDescent="0.25">
      <c r="A29" s="1091"/>
      <c r="B29" s="1368" t="s">
        <v>554</v>
      </c>
      <c r="C29" s="1405"/>
      <c r="D29" s="1165"/>
    </row>
    <row r="30" spans="1:7" ht="15.6" x14ac:dyDescent="0.25">
      <c r="A30" s="1232">
        <v>41059300</v>
      </c>
      <c r="B30" s="1407" t="s">
        <v>1162</v>
      </c>
      <c r="C30" s="1408"/>
      <c r="D30" s="1119">
        <f>D31</f>
        <v>755854</v>
      </c>
    </row>
    <row r="31" spans="1:7" ht="15.6" x14ac:dyDescent="0.25">
      <c r="A31" s="1091" t="s">
        <v>553</v>
      </c>
      <c r="B31" s="1368" t="s">
        <v>554</v>
      </c>
      <c r="C31" s="1405"/>
      <c r="D31" s="1269">
        <v>755854</v>
      </c>
    </row>
    <row r="32" spans="1:7" ht="17.399999999999999" x14ac:dyDescent="0.25">
      <c r="A32" s="1232" t="s">
        <v>555</v>
      </c>
      <c r="B32" s="201" t="s">
        <v>12</v>
      </c>
      <c r="C32" s="202"/>
      <c r="D32" s="1119">
        <f>D33+D42+D57+D61+D75+D92</f>
        <v>5695811</v>
      </c>
    </row>
    <row r="33" spans="1:256" ht="15.6" x14ac:dyDescent="0.25">
      <c r="A33" s="1232">
        <v>1150500000</v>
      </c>
      <c r="B33" s="197" t="s">
        <v>556</v>
      </c>
      <c r="C33" s="198"/>
      <c r="D33" s="1119">
        <f>D34+D35</f>
        <v>5571</v>
      </c>
      <c r="E33" s="142"/>
      <c r="F33" s="142"/>
      <c r="G33" s="142"/>
      <c r="H33" s="142"/>
      <c r="I33" s="142"/>
      <c r="J33" s="142"/>
      <c r="K33" s="142"/>
      <c r="L33" s="142"/>
      <c r="M33" s="142"/>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c r="CN33" s="142"/>
      <c r="CO33" s="142"/>
      <c r="CP33" s="142"/>
      <c r="CQ33" s="142"/>
      <c r="CR33" s="142"/>
      <c r="CS33" s="142"/>
      <c r="CT33" s="142"/>
      <c r="CU33" s="142"/>
      <c r="CV33" s="142"/>
      <c r="CW33" s="142"/>
      <c r="CX33" s="142"/>
      <c r="CY33" s="142"/>
      <c r="CZ33" s="142"/>
      <c r="DA33" s="142"/>
      <c r="DB33" s="142"/>
      <c r="DC33" s="142"/>
      <c r="DD33" s="142"/>
      <c r="DE33" s="142"/>
      <c r="DF33" s="142"/>
      <c r="DG33" s="142"/>
      <c r="DH33" s="142"/>
      <c r="DI33" s="142"/>
      <c r="DJ33" s="142"/>
      <c r="DK33" s="142"/>
      <c r="DL33" s="142"/>
      <c r="DM33" s="142"/>
      <c r="DN33" s="142"/>
      <c r="DO33" s="142"/>
      <c r="DP33" s="142"/>
      <c r="DQ33" s="142"/>
      <c r="DR33" s="142"/>
      <c r="DS33" s="142"/>
      <c r="DT33" s="142"/>
      <c r="DU33" s="142"/>
      <c r="DV33" s="142"/>
      <c r="DW33" s="142"/>
      <c r="DX33" s="142"/>
      <c r="DY33" s="142"/>
      <c r="DZ33" s="142"/>
      <c r="EA33" s="142"/>
      <c r="EB33" s="142"/>
      <c r="EC33" s="142"/>
      <c r="ED33" s="142"/>
      <c r="EE33" s="142"/>
      <c r="EF33" s="142"/>
      <c r="EG33" s="142"/>
      <c r="EH33" s="142"/>
      <c r="EI33" s="142"/>
      <c r="EJ33" s="142"/>
      <c r="EK33" s="142"/>
      <c r="EL33" s="142"/>
      <c r="EM33" s="142"/>
      <c r="EN33" s="142"/>
      <c r="EO33" s="142"/>
      <c r="EP33" s="142"/>
      <c r="EQ33" s="142"/>
      <c r="ER33" s="142"/>
      <c r="ES33" s="142"/>
      <c r="ET33" s="142"/>
      <c r="EU33" s="142"/>
      <c r="EV33" s="142"/>
      <c r="EW33" s="142"/>
      <c r="EX33" s="142"/>
      <c r="EY33" s="142"/>
      <c r="EZ33" s="142"/>
      <c r="FA33" s="142"/>
      <c r="FB33" s="142"/>
      <c r="FC33" s="142"/>
      <c r="FD33" s="142"/>
      <c r="FE33" s="142"/>
      <c r="FF33" s="142"/>
      <c r="FG33" s="142"/>
      <c r="FH33" s="142"/>
      <c r="FI33" s="142"/>
      <c r="FJ33" s="142"/>
      <c r="FK33" s="142"/>
      <c r="FL33" s="142"/>
      <c r="FM33" s="142"/>
      <c r="FN33" s="142"/>
      <c r="FO33" s="142"/>
      <c r="FP33" s="142"/>
      <c r="FQ33" s="142"/>
      <c r="FR33" s="142"/>
      <c r="FS33" s="142"/>
      <c r="FT33" s="142"/>
      <c r="FU33" s="142"/>
      <c r="FV33" s="142"/>
      <c r="FW33" s="142"/>
      <c r="FX33" s="142"/>
      <c r="FY33" s="142"/>
      <c r="FZ33" s="142"/>
      <c r="GA33" s="142"/>
      <c r="GB33" s="142"/>
      <c r="GC33" s="142"/>
      <c r="GD33" s="142"/>
      <c r="GE33" s="142"/>
      <c r="GF33" s="142"/>
      <c r="GG33" s="142"/>
      <c r="GH33" s="142"/>
      <c r="GI33" s="142"/>
      <c r="GJ33" s="142"/>
      <c r="GK33" s="142"/>
      <c r="GL33" s="142"/>
      <c r="GM33" s="142"/>
      <c r="GN33" s="142"/>
      <c r="GO33" s="142"/>
      <c r="GP33" s="142"/>
      <c r="GQ33" s="142"/>
      <c r="GR33" s="142"/>
      <c r="GS33" s="142"/>
      <c r="GT33" s="142"/>
      <c r="GU33" s="142"/>
      <c r="GV33" s="142"/>
      <c r="GW33" s="142"/>
      <c r="GX33" s="142"/>
      <c r="GY33" s="142"/>
      <c r="GZ33" s="142"/>
      <c r="HA33" s="142"/>
      <c r="HB33" s="142"/>
      <c r="HC33" s="142"/>
      <c r="HD33" s="142"/>
      <c r="HE33" s="142"/>
      <c r="HF33" s="142"/>
      <c r="HG33" s="142"/>
      <c r="HH33" s="142"/>
      <c r="HI33" s="142"/>
      <c r="HJ33" s="142"/>
      <c r="HK33" s="142"/>
      <c r="HL33" s="142"/>
      <c r="HM33" s="142"/>
      <c r="HN33" s="142"/>
      <c r="HO33" s="142"/>
      <c r="HP33" s="142"/>
      <c r="HQ33" s="142"/>
      <c r="HR33" s="142"/>
      <c r="HS33" s="142"/>
      <c r="HT33" s="142"/>
      <c r="HU33" s="142"/>
      <c r="HV33" s="142"/>
      <c r="HW33" s="142"/>
      <c r="HX33" s="142"/>
      <c r="HY33" s="142"/>
      <c r="HZ33" s="142"/>
      <c r="IA33" s="142"/>
      <c r="IB33" s="142"/>
      <c r="IC33" s="142"/>
      <c r="ID33" s="142"/>
      <c r="IE33" s="142"/>
      <c r="IF33" s="142"/>
      <c r="IG33" s="142"/>
      <c r="IH33" s="142"/>
      <c r="II33" s="142"/>
      <c r="IJ33" s="142"/>
      <c r="IK33" s="142"/>
      <c r="IL33" s="142"/>
      <c r="IM33" s="142"/>
      <c r="IN33" s="142"/>
      <c r="IO33" s="142"/>
      <c r="IP33" s="142"/>
      <c r="IQ33" s="142"/>
      <c r="IR33" s="142"/>
      <c r="IS33" s="142"/>
      <c r="IT33" s="142"/>
      <c r="IU33" s="142"/>
      <c r="IV33" s="142"/>
    </row>
    <row r="34" spans="1:256" ht="16.2" x14ac:dyDescent="0.25">
      <c r="A34" s="1092" t="s">
        <v>573</v>
      </c>
      <c r="B34" s="1384" t="s">
        <v>598</v>
      </c>
      <c r="C34" s="1385"/>
      <c r="D34" s="1163">
        <v>5571</v>
      </c>
      <c r="E34" s="145"/>
      <c r="F34" s="145"/>
      <c r="G34" s="145"/>
      <c r="H34" s="145"/>
      <c r="I34" s="145"/>
      <c r="J34" s="145"/>
      <c r="K34" s="145"/>
      <c r="L34" s="145"/>
      <c r="M34" s="145"/>
      <c r="N34" s="145"/>
      <c r="O34" s="145"/>
      <c r="P34" s="145"/>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c r="CN34" s="145"/>
      <c r="CO34" s="145"/>
      <c r="CP34" s="145"/>
      <c r="CQ34" s="145"/>
      <c r="CR34" s="145"/>
      <c r="CS34" s="145"/>
      <c r="CT34" s="145"/>
      <c r="CU34" s="145"/>
      <c r="CV34" s="145"/>
      <c r="CW34" s="145"/>
      <c r="CX34" s="145"/>
      <c r="CY34" s="145"/>
      <c r="CZ34" s="145"/>
      <c r="DA34" s="145"/>
      <c r="DB34" s="145"/>
      <c r="DC34" s="145"/>
      <c r="DD34" s="145"/>
      <c r="DE34" s="145"/>
      <c r="DF34" s="145"/>
      <c r="DG34" s="145"/>
      <c r="DH34" s="145"/>
      <c r="DI34" s="145"/>
      <c r="DJ34" s="145"/>
      <c r="DK34" s="145"/>
      <c r="DL34" s="145"/>
      <c r="DM34" s="145"/>
      <c r="DN34" s="145"/>
      <c r="DO34" s="145"/>
      <c r="DP34" s="145"/>
      <c r="DQ34" s="145"/>
      <c r="DR34" s="145"/>
      <c r="DS34" s="145"/>
      <c r="DT34" s="145"/>
      <c r="DU34" s="145"/>
      <c r="DV34" s="145"/>
      <c r="DW34" s="145"/>
      <c r="DX34" s="145"/>
      <c r="DY34" s="145"/>
      <c r="DZ34" s="145"/>
      <c r="EA34" s="145"/>
      <c r="EB34" s="145"/>
      <c r="EC34" s="145"/>
      <c r="ED34" s="145"/>
      <c r="EE34" s="145"/>
      <c r="EF34" s="145"/>
      <c r="EG34" s="145"/>
      <c r="EH34" s="145"/>
      <c r="EI34" s="145"/>
      <c r="EJ34" s="145"/>
      <c r="EK34" s="145"/>
      <c r="EL34" s="145"/>
      <c r="EM34" s="145"/>
      <c r="EN34" s="145"/>
      <c r="EO34" s="145"/>
      <c r="EP34" s="145"/>
      <c r="EQ34" s="145"/>
      <c r="ER34" s="145"/>
      <c r="ES34" s="145"/>
      <c r="ET34" s="145"/>
      <c r="EU34" s="145"/>
      <c r="EV34" s="145"/>
      <c r="EW34" s="145"/>
      <c r="EX34" s="145"/>
      <c r="EY34" s="145"/>
      <c r="EZ34" s="145"/>
      <c r="FA34" s="145"/>
      <c r="FB34" s="145"/>
      <c r="FC34" s="145"/>
      <c r="FD34" s="145"/>
      <c r="FE34" s="145"/>
      <c r="FF34" s="145"/>
      <c r="FG34" s="145"/>
      <c r="FH34" s="145"/>
      <c r="FI34" s="145"/>
      <c r="FJ34" s="145"/>
      <c r="FK34" s="145"/>
      <c r="FL34" s="145"/>
      <c r="FM34" s="145"/>
      <c r="FN34" s="145"/>
      <c r="FO34" s="145"/>
      <c r="FP34" s="145"/>
      <c r="FQ34" s="145"/>
      <c r="FR34" s="145"/>
      <c r="FS34" s="145"/>
      <c r="FT34" s="145"/>
      <c r="FU34" s="145"/>
      <c r="FV34" s="145"/>
      <c r="FW34" s="145"/>
      <c r="FX34" s="145"/>
      <c r="FY34" s="145"/>
      <c r="FZ34" s="145"/>
      <c r="GA34" s="145"/>
      <c r="GB34" s="145"/>
      <c r="GC34" s="145"/>
      <c r="GD34" s="145"/>
      <c r="GE34" s="145"/>
      <c r="GF34" s="145"/>
      <c r="GG34" s="145"/>
      <c r="GH34" s="145"/>
      <c r="GI34" s="145"/>
      <c r="GJ34" s="145"/>
      <c r="GK34" s="145"/>
      <c r="GL34" s="145"/>
      <c r="GM34" s="145"/>
      <c r="GN34" s="145"/>
      <c r="GO34" s="145"/>
      <c r="GP34" s="145"/>
      <c r="GQ34" s="145"/>
      <c r="GR34" s="145"/>
      <c r="GS34" s="145"/>
      <c r="GT34" s="145"/>
      <c r="GU34" s="145"/>
      <c r="GV34" s="145"/>
      <c r="GW34" s="145"/>
      <c r="GX34" s="145"/>
      <c r="GY34" s="145"/>
      <c r="GZ34" s="145"/>
      <c r="HA34" s="145"/>
      <c r="HB34" s="145"/>
      <c r="HC34" s="145"/>
      <c r="HD34" s="145"/>
      <c r="HE34" s="145"/>
      <c r="HF34" s="145"/>
      <c r="HG34" s="145"/>
      <c r="HH34" s="145"/>
      <c r="HI34" s="145"/>
      <c r="HJ34" s="145"/>
      <c r="HK34" s="145"/>
      <c r="HL34" s="145"/>
      <c r="HM34" s="145"/>
      <c r="HN34" s="145"/>
      <c r="HO34" s="145"/>
      <c r="HP34" s="145"/>
      <c r="HQ34" s="145"/>
      <c r="HR34" s="145"/>
      <c r="HS34" s="145"/>
      <c r="HT34" s="145"/>
      <c r="HU34" s="145"/>
      <c r="HV34" s="145"/>
      <c r="HW34" s="145"/>
      <c r="HX34" s="145"/>
      <c r="HY34" s="145"/>
      <c r="HZ34" s="145"/>
      <c r="IA34" s="145"/>
      <c r="IB34" s="145"/>
      <c r="IC34" s="145"/>
      <c r="ID34" s="145"/>
      <c r="IE34" s="145"/>
      <c r="IF34" s="145"/>
      <c r="IG34" s="145"/>
      <c r="IH34" s="145"/>
      <c r="II34" s="145"/>
      <c r="IJ34" s="145"/>
      <c r="IK34" s="145"/>
      <c r="IL34" s="145"/>
      <c r="IM34" s="145"/>
      <c r="IN34" s="145"/>
      <c r="IO34" s="145"/>
      <c r="IP34" s="145"/>
      <c r="IQ34" s="145"/>
      <c r="IR34" s="145"/>
      <c r="IS34" s="145"/>
      <c r="IT34" s="145"/>
      <c r="IU34" s="145"/>
      <c r="IV34" s="145"/>
    </row>
    <row r="35" spans="1:256" ht="16.2" hidden="1" x14ac:dyDescent="0.25">
      <c r="A35" s="1092" t="s">
        <v>573</v>
      </c>
      <c r="B35" s="1382" t="s">
        <v>572</v>
      </c>
      <c r="C35" s="1383"/>
      <c r="D35" s="1166">
        <f>D36+D37+D38+D39+D40+D41</f>
        <v>0</v>
      </c>
      <c r="E35" s="145"/>
      <c r="F35" s="145"/>
      <c r="G35" s="145"/>
      <c r="H35" s="145"/>
      <c r="I35" s="145"/>
      <c r="J35" s="145"/>
      <c r="K35" s="145"/>
      <c r="L35" s="145"/>
      <c r="M35" s="145"/>
      <c r="N35" s="145"/>
      <c r="O35" s="145"/>
      <c r="P35" s="145"/>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c r="CN35" s="145"/>
      <c r="CO35" s="145"/>
      <c r="CP35" s="145"/>
      <c r="CQ35" s="145"/>
      <c r="CR35" s="145"/>
      <c r="CS35" s="145"/>
      <c r="CT35" s="145"/>
      <c r="CU35" s="145"/>
      <c r="CV35" s="145"/>
      <c r="CW35" s="145"/>
      <c r="CX35" s="145"/>
      <c r="CY35" s="145"/>
      <c r="CZ35" s="145"/>
      <c r="DA35" s="145"/>
      <c r="DB35" s="145"/>
      <c r="DC35" s="145"/>
      <c r="DD35" s="145"/>
      <c r="DE35" s="145"/>
      <c r="DF35" s="145"/>
      <c r="DG35" s="145"/>
      <c r="DH35" s="145"/>
      <c r="DI35" s="145"/>
      <c r="DJ35" s="145"/>
      <c r="DK35" s="145"/>
      <c r="DL35" s="145"/>
      <c r="DM35" s="145"/>
      <c r="DN35" s="145"/>
      <c r="DO35" s="145"/>
      <c r="DP35" s="145"/>
      <c r="DQ35" s="145"/>
      <c r="DR35" s="145"/>
      <c r="DS35" s="145"/>
      <c r="DT35" s="145"/>
      <c r="DU35" s="145"/>
      <c r="DV35" s="145"/>
      <c r="DW35" s="145"/>
      <c r="DX35" s="145"/>
      <c r="DY35" s="145"/>
      <c r="DZ35" s="145"/>
      <c r="EA35" s="145"/>
      <c r="EB35" s="145"/>
      <c r="EC35" s="145"/>
      <c r="ED35" s="145"/>
      <c r="EE35" s="145"/>
      <c r="EF35" s="145"/>
      <c r="EG35" s="145"/>
      <c r="EH35" s="145"/>
      <c r="EI35" s="145"/>
      <c r="EJ35" s="145"/>
      <c r="EK35" s="145"/>
      <c r="EL35" s="145"/>
      <c r="EM35" s="145"/>
      <c r="EN35" s="145"/>
      <c r="EO35" s="145"/>
      <c r="EP35" s="145"/>
      <c r="EQ35" s="145"/>
      <c r="ER35" s="145"/>
      <c r="ES35" s="145"/>
      <c r="ET35" s="145"/>
      <c r="EU35" s="145"/>
      <c r="EV35" s="145"/>
      <c r="EW35" s="145"/>
      <c r="EX35" s="145"/>
      <c r="EY35" s="145"/>
      <c r="EZ35" s="145"/>
      <c r="FA35" s="145"/>
      <c r="FB35" s="145"/>
      <c r="FC35" s="145"/>
      <c r="FD35" s="145"/>
      <c r="FE35" s="145"/>
      <c r="FF35" s="145"/>
      <c r="FG35" s="145"/>
      <c r="FH35" s="145"/>
      <c r="FI35" s="145"/>
      <c r="FJ35" s="145"/>
      <c r="FK35" s="145"/>
      <c r="FL35" s="145"/>
      <c r="FM35" s="145"/>
      <c r="FN35" s="145"/>
      <c r="FO35" s="145"/>
      <c r="FP35" s="145"/>
      <c r="FQ35" s="145"/>
      <c r="FR35" s="145"/>
      <c r="FS35" s="145"/>
      <c r="FT35" s="145"/>
      <c r="FU35" s="145"/>
      <c r="FV35" s="145"/>
      <c r="FW35" s="145"/>
      <c r="FX35" s="145"/>
      <c r="FY35" s="145"/>
      <c r="FZ35" s="145"/>
      <c r="GA35" s="145"/>
      <c r="GB35" s="145"/>
      <c r="GC35" s="145"/>
      <c r="GD35" s="145"/>
      <c r="GE35" s="145"/>
      <c r="GF35" s="145"/>
      <c r="GG35" s="145"/>
      <c r="GH35" s="145"/>
      <c r="GI35" s="145"/>
      <c r="GJ35" s="145"/>
      <c r="GK35" s="145"/>
      <c r="GL35" s="145"/>
      <c r="GM35" s="145"/>
      <c r="GN35" s="145"/>
      <c r="GO35" s="145"/>
      <c r="GP35" s="145"/>
      <c r="GQ35" s="145"/>
      <c r="GR35" s="145"/>
      <c r="GS35" s="145"/>
      <c r="GT35" s="145"/>
      <c r="GU35" s="145"/>
      <c r="GV35" s="145"/>
      <c r="GW35" s="145"/>
      <c r="GX35" s="145"/>
      <c r="GY35" s="145"/>
      <c r="GZ35" s="145"/>
      <c r="HA35" s="145"/>
      <c r="HB35" s="145"/>
      <c r="HC35" s="145"/>
      <c r="HD35" s="145"/>
      <c r="HE35" s="145"/>
      <c r="HF35" s="145"/>
      <c r="HG35" s="145"/>
      <c r="HH35" s="145"/>
      <c r="HI35" s="145"/>
      <c r="HJ35" s="145"/>
      <c r="HK35" s="145"/>
      <c r="HL35" s="145"/>
      <c r="HM35" s="145"/>
      <c r="HN35" s="145"/>
      <c r="HO35" s="145"/>
      <c r="HP35" s="145"/>
      <c r="HQ35" s="145"/>
      <c r="HR35" s="145"/>
      <c r="HS35" s="145"/>
      <c r="HT35" s="145"/>
      <c r="HU35" s="145"/>
      <c r="HV35" s="145"/>
      <c r="HW35" s="145"/>
      <c r="HX35" s="145"/>
      <c r="HY35" s="145"/>
      <c r="HZ35" s="145"/>
      <c r="IA35" s="145"/>
      <c r="IB35" s="145"/>
      <c r="IC35" s="145"/>
      <c r="ID35" s="145"/>
      <c r="IE35" s="145"/>
      <c r="IF35" s="145"/>
      <c r="IG35" s="145"/>
      <c r="IH35" s="145"/>
      <c r="II35" s="145"/>
      <c r="IJ35" s="145"/>
      <c r="IK35" s="145"/>
      <c r="IL35" s="145"/>
      <c r="IM35" s="145"/>
      <c r="IN35" s="145"/>
      <c r="IO35" s="145"/>
      <c r="IP35" s="145"/>
      <c r="IQ35" s="145"/>
      <c r="IR35" s="145"/>
      <c r="IS35" s="145"/>
      <c r="IT35" s="145"/>
      <c r="IU35" s="145"/>
      <c r="IV35" s="145"/>
    </row>
    <row r="36" spans="1:256" ht="15.6" hidden="1" x14ac:dyDescent="0.25">
      <c r="A36" s="1091"/>
      <c r="B36" s="1379" t="s">
        <v>605</v>
      </c>
      <c r="C36" s="1380"/>
      <c r="D36" s="1163"/>
      <c r="H36" s="155"/>
    </row>
    <row r="37" spans="1:256" ht="15.6" hidden="1" x14ac:dyDescent="0.25">
      <c r="A37" s="1091"/>
      <c r="B37" s="1379" t="s">
        <v>603</v>
      </c>
      <c r="C37" s="1380"/>
      <c r="D37" s="1163"/>
      <c r="H37" s="155"/>
    </row>
    <row r="38" spans="1:256" ht="15.6" hidden="1" x14ac:dyDescent="0.25">
      <c r="A38" s="1091"/>
      <c r="B38" s="1379" t="s">
        <v>577</v>
      </c>
      <c r="C38" s="1380"/>
      <c r="D38" s="1163"/>
      <c r="H38" s="155"/>
    </row>
    <row r="39" spans="1:256" ht="15.6" hidden="1" x14ac:dyDescent="0.25">
      <c r="A39" s="1091"/>
      <c r="B39" s="1379" t="s">
        <v>606</v>
      </c>
      <c r="C39" s="1380"/>
      <c r="D39" s="1163"/>
      <c r="H39" s="155"/>
    </row>
    <row r="40" spans="1:256" ht="15.6" hidden="1" x14ac:dyDescent="0.25">
      <c r="A40" s="1091"/>
      <c r="B40" s="1379" t="s">
        <v>575</v>
      </c>
      <c r="C40" s="1380"/>
      <c r="D40" s="1163"/>
      <c r="H40" s="155"/>
    </row>
    <row r="41" spans="1:256" ht="15.6" hidden="1" x14ac:dyDescent="0.25">
      <c r="A41" s="1091"/>
      <c r="B41" s="1379" t="s">
        <v>607</v>
      </c>
      <c r="C41" s="1380"/>
      <c r="D41" s="1163"/>
      <c r="H41" s="155"/>
    </row>
    <row r="42" spans="1:256" ht="15.6" x14ac:dyDescent="0.25">
      <c r="A42" s="1232">
        <v>1150600000</v>
      </c>
      <c r="B42" s="197" t="s">
        <v>557</v>
      </c>
      <c r="C42" s="198"/>
      <c r="D42" s="1119">
        <f>D43+D52+D56</f>
        <v>1993143</v>
      </c>
      <c r="E42" s="142"/>
      <c r="F42" s="142"/>
      <c r="G42" s="142"/>
      <c r="H42" s="156"/>
      <c r="I42" s="142"/>
      <c r="J42" s="142"/>
      <c r="K42" s="142"/>
      <c r="L42" s="142"/>
      <c r="M42" s="142"/>
      <c r="N42" s="142"/>
      <c r="O42" s="142"/>
      <c r="P42" s="142"/>
      <c r="Q42" s="142"/>
      <c r="R42" s="142"/>
      <c r="S42" s="142"/>
      <c r="T42" s="142"/>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c r="CN42" s="142"/>
      <c r="CO42" s="142"/>
      <c r="CP42" s="142"/>
      <c r="CQ42" s="142"/>
      <c r="CR42" s="142"/>
      <c r="CS42" s="142"/>
      <c r="CT42" s="142"/>
      <c r="CU42" s="142"/>
      <c r="CV42" s="142"/>
      <c r="CW42" s="142"/>
      <c r="CX42" s="142"/>
      <c r="CY42" s="142"/>
      <c r="CZ42" s="142"/>
      <c r="DA42" s="142"/>
      <c r="DB42" s="142"/>
      <c r="DC42" s="142"/>
      <c r="DD42" s="142"/>
      <c r="DE42" s="142"/>
      <c r="DF42" s="142"/>
      <c r="DG42" s="142"/>
      <c r="DH42" s="142"/>
      <c r="DI42" s="142"/>
      <c r="DJ42" s="142"/>
      <c r="DK42" s="142"/>
      <c r="DL42" s="142"/>
      <c r="DM42" s="142"/>
      <c r="DN42" s="142"/>
      <c r="DO42" s="142"/>
      <c r="DP42" s="142"/>
      <c r="DQ42" s="142"/>
      <c r="DR42" s="142"/>
      <c r="DS42" s="142"/>
      <c r="DT42" s="142"/>
      <c r="DU42" s="142"/>
      <c r="DV42" s="142"/>
      <c r="DW42" s="142"/>
      <c r="DX42" s="142"/>
      <c r="DY42" s="142"/>
      <c r="DZ42" s="142"/>
      <c r="EA42" s="142"/>
      <c r="EB42" s="142"/>
      <c r="EC42" s="142"/>
      <c r="ED42" s="142"/>
      <c r="EE42" s="142"/>
      <c r="EF42" s="142"/>
      <c r="EG42" s="142"/>
      <c r="EH42" s="142"/>
      <c r="EI42" s="142"/>
      <c r="EJ42" s="142"/>
      <c r="EK42" s="142"/>
      <c r="EL42" s="142"/>
      <c r="EM42" s="142"/>
      <c r="EN42" s="142"/>
      <c r="EO42" s="142"/>
      <c r="EP42" s="142"/>
      <c r="EQ42" s="142"/>
      <c r="ER42" s="142"/>
      <c r="ES42" s="142"/>
      <c r="ET42" s="142"/>
      <c r="EU42" s="142"/>
      <c r="EV42" s="142"/>
      <c r="EW42" s="142"/>
      <c r="EX42" s="142"/>
      <c r="EY42" s="142"/>
      <c r="EZ42" s="142"/>
      <c r="FA42" s="142"/>
      <c r="FB42" s="142"/>
      <c r="FC42" s="142"/>
      <c r="FD42" s="142"/>
      <c r="FE42" s="142"/>
      <c r="FF42" s="142"/>
      <c r="FG42" s="142"/>
      <c r="FH42" s="142"/>
      <c r="FI42" s="142"/>
      <c r="FJ42" s="142"/>
      <c r="FK42" s="142"/>
      <c r="FL42" s="142"/>
      <c r="FM42" s="142"/>
      <c r="FN42" s="142"/>
      <c r="FO42" s="142"/>
      <c r="FP42" s="142"/>
      <c r="FQ42" s="142"/>
      <c r="FR42" s="142"/>
      <c r="FS42" s="142"/>
      <c r="FT42" s="142"/>
      <c r="FU42" s="142"/>
      <c r="FV42" s="142"/>
      <c r="FW42" s="142"/>
      <c r="FX42" s="142"/>
      <c r="FY42" s="142"/>
      <c r="FZ42" s="142"/>
      <c r="GA42" s="142"/>
      <c r="GB42" s="142"/>
      <c r="GC42" s="142"/>
      <c r="GD42" s="142"/>
      <c r="GE42" s="142"/>
      <c r="GF42" s="142"/>
      <c r="GG42" s="142"/>
      <c r="GH42" s="142"/>
      <c r="GI42" s="142"/>
      <c r="GJ42" s="142"/>
      <c r="GK42" s="142"/>
      <c r="GL42" s="142"/>
      <c r="GM42" s="142"/>
      <c r="GN42" s="142"/>
      <c r="GO42" s="142"/>
      <c r="GP42" s="142"/>
      <c r="GQ42" s="142"/>
      <c r="GR42" s="142"/>
      <c r="GS42" s="142"/>
      <c r="GT42" s="142"/>
      <c r="GU42" s="142"/>
      <c r="GV42" s="142"/>
      <c r="GW42" s="142"/>
      <c r="GX42" s="142"/>
      <c r="GY42" s="142"/>
      <c r="GZ42" s="142"/>
      <c r="HA42" s="142"/>
      <c r="HB42" s="142"/>
      <c r="HC42" s="142"/>
      <c r="HD42" s="142"/>
      <c r="HE42" s="142"/>
      <c r="HF42" s="142"/>
      <c r="HG42" s="142"/>
      <c r="HH42" s="142"/>
      <c r="HI42" s="142"/>
      <c r="HJ42" s="142"/>
      <c r="HK42" s="142"/>
      <c r="HL42" s="142"/>
      <c r="HM42" s="142"/>
      <c r="HN42" s="142"/>
      <c r="HO42" s="142"/>
      <c r="HP42" s="142"/>
      <c r="HQ42" s="142"/>
      <c r="HR42" s="142"/>
      <c r="HS42" s="142"/>
      <c r="HT42" s="142"/>
      <c r="HU42" s="142"/>
      <c r="HV42" s="142"/>
      <c r="HW42" s="142"/>
      <c r="HX42" s="142"/>
      <c r="HY42" s="142"/>
      <c r="HZ42" s="142"/>
      <c r="IA42" s="142"/>
      <c r="IB42" s="142"/>
      <c r="IC42" s="142"/>
      <c r="ID42" s="142"/>
      <c r="IE42" s="142"/>
      <c r="IF42" s="142"/>
      <c r="IG42" s="142"/>
      <c r="IH42" s="142"/>
      <c r="II42" s="142"/>
      <c r="IJ42" s="142"/>
      <c r="IK42" s="142"/>
      <c r="IL42" s="142"/>
      <c r="IM42" s="142"/>
      <c r="IN42" s="142"/>
      <c r="IO42" s="142"/>
      <c r="IP42" s="142"/>
      <c r="IQ42" s="142"/>
      <c r="IR42" s="142"/>
      <c r="IS42" s="142"/>
      <c r="IT42" s="142"/>
      <c r="IU42" s="142"/>
      <c r="IV42" s="142"/>
    </row>
    <row r="43" spans="1:256" ht="16.2" x14ac:dyDescent="0.25">
      <c r="A43" s="1092" t="s">
        <v>573</v>
      </c>
      <c r="B43" s="1382" t="s">
        <v>572</v>
      </c>
      <c r="C43" s="1383"/>
      <c r="D43" s="1166">
        <f>D44+D45+D46+D47+D48+D49+D50+D51</f>
        <v>1598200</v>
      </c>
      <c r="E43" s="145"/>
      <c r="F43" s="145"/>
      <c r="G43" s="145"/>
      <c r="H43" s="145"/>
      <c r="I43" s="145"/>
      <c r="J43" s="145"/>
      <c r="K43" s="145"/>
      <c r="L43" s="145"/>
      <c r="M43" s="145"/>
      <c r="N43" s="145"/>
      <c r="O43" s="145"/>
      <c r="P43" s="145"/>
      <c r="Q43" s="145"/>
      <c r="R43" s="145"/>
      <c r="S43" s="145"/>
      <c r="T43" s="145"/>
      <c r="U43" s="145"/>
      <c r="V43" s="145"/>
      <c r="W43" s="145"/>
      <c r="X43" s="145"/>
      <c r="Y43" s="145"/>
      <c r="Z43" s="145"/>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c r="CN43" s="145"/>
      <c r="CO43" s="145"/>
      <c r="CP43" s="145"/>
      <c r="CQ43" s="145"/>
      <c r="CR43" s="145"/>
      <c r="CS43" s="145"/>
      <c r="CT43" s="145"/>
      <c r="CU43" s="145"/>
      <c r="CV43" s="145"/>
      <c r="CW43" s="145"/>
      <c r="CX43" s="145"/>
      <c r="CY43" s="145"/>
      <c r="CZ43" s="145"/>
      <c r="DA43" s="145"/>
      <c r="DB43" s="145"/>
      <c r="DC43" s="145"/>
      <c r="DD43" s="145"/>
      <c r="DE43" s="145"/>
      <c r="DF43" s="145"/>
      <c r="DG43" s="145"/>
      <c r="DH43" s="145"/>
      <c r="DI43" s="145"/>
      <c r="DJ43" s="145"/>
      <c r="DK43" s="145"/>
      <c r="DL43" s="145"/>
      <c r="DM43" s="145"/>
      <c r="DN43" s="145"/>
      <c r="DO43" s="145"/>
      <c r="DP43" s="145"/>
      <c r="DQ43" s="145"/>
      <c r="DR43" s="145"/>
      <c r="DS43" s="145"/>
      <c r="DT43" s="145"/>
      <c r="DU43" s="145"/>
      <c r="DV43" s="145"/>
      <c r="DW43" s="145"/>
      <c r="DX43" s="145"/>
      <c r="DY43" s="145"/>
      <c r="DZ43" s="145"/>
      <c r="EA43" s="145"/>
      <c r="EB43" s="145"/>
      <c r="EC43" s="145"/>
      <c r="ED43" s="145"/>
      <c r="EE43" s="145"/>
      <c r="EF43" s="145"/>
      <c r="EG43" s="145"/>
      <c r="EH43" s="145"/>
      <c r="EI43" s="145"/>
      <c r="EJ43" s="145"/>
      <c r="EK43" s="145"/>
      <c r="EL43" s="145"/>
      <c r="EM43" s="145"/>
      <c r="EN43" s="145"/>
      <c r="EO43" s="145"/>
      <c r="EP43" s="145"/>
      <c r="EQ43" s="145"/>
      <c r="ER43" s="145"/>
      <c r="ES43" s="145"/>
      <c r="ET43" s="145"/>
      <c r="EU43" s="145"/>
      <c r="EV43" s="145"/>
      <c r="EW43" s="145"/>
      <c r="EX43" s="145"/>
      <c r="EY43" s="145"/>
      <c r="EZ43" s="145"/>
      <c r="FA43" s="145"/>
      <c r="FB43" s="145"/>
      <c r="FC43" s="145"/>
      <c r="FD43" s="145"/>
      <c r="FE43" s="145"/>
      <c r="FF43" s="145"/>
      <c r="FG43" s="145"/>
      <c r="FH43" s="145"/>
      <c r="FI43" s="145"/>
      <c r="FJ43" s="145"/>
      <c r="FK43" s="145"/>
      <c r="FL43" s="145"/>
      <c r="FM43" s="145"/>
      <c r="FN43" s="145"/>
      <c r="FO43" s="145"/>
      <c r="FP43" s="145"/>
      <c r="FQ43" s="145"/>
      <c r="FR43" s="145"/>
      <c r="FS43" s="145"/>
      <c r="FT43" s="145"/>
      <c r="FU43" s="145"/>
      <c r="FV43" s="145"/>
      <c r="FW43" s="145"/>
      <c r="FX43" s="145"/>
      <c r="FY43" s="145"/>
      <c r="FZ43" s="145"/>
      <c r="GA43" s="145"/>
      <c r="GB43" s="145"/>
      <c r="GC43" s="145"/>
      <c r="GD43" s="145"/>
      <c r="GE43" s="145"/>
      <c r="GF43" s="145"/>
      <c r="GG43" s="145"/>
      <c r="GH43" s="145"/>
      <c r="GI43" s="145"/>
      <c r="GJ43" s="145"/>
      <c r="GK43" s="145"/>
      <c r="GL43" s="145"/>
      <c r="GM43" s="145"/>
      <c r="GN43" s="145"/>
      <c r="GO43" s="145"/>
      <c r="GP43" s="145"/>
      <c r="GQ43" s="145"/>
      <c r="GR43" s="145"/>
      <c r="GS43" s="145"/>
      <c r="GT43" s="145"/>
      <c r="GU43" s="145"/>
      <c r="GV43" s="145"/>
      <c r="GW43" s="145"/>
      <c r="GX43" s="145"/>
      <c r="GY43" s="145"/>
      <c r="GZ43" s="145"/>
      <c r="HA43" s="145"/>
      <c r="HB43" s="145"/>
      <c r="HC43" s="145"/>
      <c r="HD43" s="145"/>
      <c r="HE43" s="145"/>
      <c r="HF43" s="145"/>
      <c r="HG43" s="145"/>
      <c r="HH43" s="145"/>
      <c r="HI43" s="145"/>
      <c r="HJ43" s="145"/>
      <c r="HK43" s="145"/>
      <c r="HL43" s="145"/>
      <c r="HM43" s="145"/>
      <c r="HN43" s="145"/>
      <c r="HO43" s="145"/>
      <c r="HP43" s="145"/>
      <c r="HQ43" s="145"/>
      <c r="HR43" s="145"/>
      <c r="HS43" s="145"/>
      <c r="HT43" s="145"/>
      <c r="HU43" s="145"/>
      <c r="HV43" s="145"/>
      <c r="HW43" s="145"/>
      <c r="HX43" s="145"/>
      <c r="HY43" s="145"/>
      <c r="HZ43" s="145"/>
      <c r="IA43" s="145"/>
      <c r="IB43" s="145"/>
      <c r="IC43" s="145"/>
      <c r="ID43" s="145"/>
      <c r="IE43" s="145"/>
      <c r="IF43" s="145"/>
      <c r="IG43" s="145"/>
      <c r="IH43" s="145"/>
      <c r="II43" s="145"/>
      <c r="IJ43" s="145"/>
      <c r="IK43" s="145"/>
      <c r="IL43" s="145"/>
      <c r="IM43" s="145"/>
      <c r="IN43" s="145"/>
      <c r="IO43" s="145"/>
      <c r="IP43" s="145"/>
      <c r="IQ43" s="145"/>
      <c r="IR43" s="145"/>
      <c r="IS43" s="145"/>
      <c r="IT43" s="145"/>
      <c r="IU43" s="145"/>
      <c r="IV43" s="145"/>
    </row>
    <row r="44" spans="1:256" ht="16.2" x14ac:dyDescent="0.25">
      <c r="A44" s="1092"/>
      <c r="B44" s="1379" t="s">
        <v>605</v>
      </c>
      <c r="C44" s="1380"/>
      <c r="D44" s="1163">
        <v>1283360</v>
      </c>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c r="CN44" s="145"/>
      <c r="CO44" s="145"/>
      <c r="CP44" s="145"/>
      <c r="CQ44" s="145"/>
      <c r="CR44" s="145"/>
      <c r="CS44" s="145"/>
      <c r="CT44" s="145"/>
      <c r="CU44" s="145"/>
      <c r="CV44" s="145"/>
      <c r="CW44" s="145"/>
      <c r="CX44" s="145"/>
      <c r="CY44" s="145"/>
      <c r="CZ44" s="145"/>
      <c r="DA44" s="145"/>
      <c r="DB44" s="145"/>
      <c r="DC44" s="145"/>
      <c r="DD44" s="145"/>
      <c r="DE44" s="145"/>
      <c r="DF44" s="145"/>
      <c r="DG44" s="145"/>
      <c r="DH44" s="145"/>
      <c r="DI44" s="145"/>
      <c r="DJ44" s="145"/>
      <c r="DK44" s="145"/>
      <c r="DL44" s="145"/>
      <c r="DM44" s="145"/>
      <c r="DN44" s="145"/>
      <c r="DO44" s="145"/>
      <c r="DP44" s="145"/>
      <c r="DQ44" s="145"/>
      <c r="DR44" s="145"/>
      <c r="DS44" s="145"/>
      <c r="DT44" s="145"/>
      <c r="DU44" s="145"/>
      <c r="DV44" s="145"/>
      <c r="DW44" s="145"/>
      <c r="DX44" s="145"/>
      <c r="DY44" s="145"/>
      <c r="DZ44" s="145"/>
      <c r="EA44" s="145"/>
      <c r="EB44" s="145"/>
      <c r="EC44" s="145"/>
      <c r="ED44" s="145"/>
      <c r="EE44" s="145"/>
      <c r="EF44" s="145"/>
      <c r="EG44" s="145"/>
      <c r="EH44" s="145"/>
      <c r="EI44" s="145"/>
      <c r="EJ44" s="145"/>
      <c r="EK44" s="145"/>
      <c r="EL44" s="145"/>
      <c r="EM44" s="145"/>
      <c r="EN44" s="145"/>
      <c r="EO44" s="145"/>
      <c r="EP44" s="145"/>
      <c r="EQ44" s="145"/>
      <c r="ER44" s="145"/>
      <c r="ES44" s="145"/>
      <c r="ET44" s="145"/>
      <c r="EU44" s="145"/>
      <c r="EV44" s="145"/>
      <c r="EW44" s="145"/>
      <c r="EX44" s="145"/>
      <c r="EY44" s="145"/>
      <c r="EZ44" s="145"/>
      <c r="FA44" s="145"/>
      <c r="FB44" s="145"/>
      <c r="FC44" s="145"/>
      <c r="FD44" s="145"/>
      <c r="FE44" s="145"/>
      <c r="FF44" s="145"/>
      <c r="FG44" s="145"/>
      <c r="FH44" s="145"/>
      <c r="FI44" s="145"/>
      <c r="FJ44" s="145"/>
      <c r="FK44" s="145"/>
      <c r="FL44" s="145"/>
      <c r="FM44" s="145"/>
      <c r="FN44" s="145"/>
      <c r="FO44" s="145"/>
      <c r="FP44" s="145"/>
      <c r="FQ44" s="145"/>
      <c r="FR44" s="145"/>
      <c r="FS44" s="145"/>
      <c r="FT44" s="145"/>
      <c r="FU44" s="145"/>
      <c r="FV44" s="145"/>
      <c r="FW44" s="145"/>
      <c r="FX44" s="145"/>
      <c r="FY44" s="145"/>
      <c r="FZ44" s="145"/>
      <c r="GA44" s="145"/>
      <c r="GB44" s="145"/>
      <c r="GC44" s="145"/>
      <c r="GD44" s="145"/>
      <c r="GE44" s="145"/>
      <c r="GF44" s="145"/>
      <c r="GG44" s="145"/>
      <c r="GH44" s="145"/>
      <c r="GI44" s="145"/>
      <c r="GJ44" s="145"/>
      <c r="GK44" s="145"/>
      <c r="GL44" s="145"/>
      <c r="GM44" s="145"/>
      <c r="GN44" s="145"/>
      <c r="GO44" s="145"/>
      <c r="GP44" s="145"/>
      <c r="GQ44" s="145"/>
      <c r="GR44" s="145"/>
      <c r="GS44" s="145"/>
      <c r="GT44" s="145"/>
      <c r="GU44" s="145"/>
      <c r="GV44" s="145"/>
      <c r="GW44" s="145"/>
      <c r="GX44" s="145"/>
      <c r="GY44" s="145"/>
      <c r="GZ44" s="145"/>
      <c r="HA44" s="145"/>
      <c r="HB44" s="145"/>
      <c r="HC44" s="145"/>
      <c r="HD44" s="145"/>
      <c r="HE44" s="145"/>
      <c r="HF44" s="145"/>
      <c r="HG44" s="145"/>
      <c r="HH44" s="145"/>
      <c r="HI44" s="145"/>
      <c r="HJ44" s="145"/>
      <c r="HK44" s="145"/>
      <c r="HL44" s="145"/>
      <c r="HM44" s="145"/>
      <c r="HN44" s="145"/>
      <c r="HO44" s="145"/>
      <c r="HP44" s="145"/>
      <c r="HQ44" s="145"/>
      <c r="HR44" s="145"/>
      <c r="HS44" s="145"/>
      <c r="HT44" s="145"/>
      <c r="HU44" s="145"/>
      <c r="HV44" s="145"/>
      <c r="HW44" s="145"/>
      <c r="HX44" s="145"/>
      <c r="HY44" s="145"/>
      <c r="HZ44" s="145"/>
      <c r="IA44" s="145"/>
      <c r="IB44" s="145"/>
      <c r="IC44" s="145"/>
      <c r="ID44" s="145"/>
      <c r="IE44" s="145"/>
      <c r="IF44" s="145"/>
      <c r="IG44" s="145"/>
      <c r="IH44" s="145"/>
      <c r="II44" s="145"/>
      <c r="IJ44" s="145"/>
      <c r="IK44" s="145"/>
      <c r="IL44" s="145"/>
      <c r="IM44" s="145"/>
      <c r="IN44" s="145"/>
      <c r="IO44" s="145"/>
      <c r="IP44" s="145"/>
      <c r="IQ44" s="145"/>
      <c r="IR44" s="145"/>
      <c r="IS44" s="145"/>
      <c r="IT44" s="145"/>
      <c r="IU44" s="145"/>
      <c r="IV44" s="145"/>
    </row>
    <row r="45" spans="1:256" ht="15.6" x14ac:dyDescent="0.25">
      <c r="A45" s="1232"/>
      <c r="B45" s="1379" t="s">
        <v>603</v>
      </c>
      <c r="C45" s="1380"/>
      <c r="D45" s="1163">
        <f>27100+20000</f>
        <v>47100</v>
      </c>
    </row>
    <row r="46" spans="1:256" ht="15.6" x14ac:dyDescent="0.25">
      <c r="A46" s="1232"/>
      <c r="B46" s="1379" t="s">
        <v>577</v>
      </c>
      <c r="C46" s="1380"/>
      <c r="D46" s="1163">
        <f>30900+20000</f>
        <v>50900</v>
      </c>
    </row>
    <row r="47" spans="1:256" ht="15.6" hidden="1" x14ac:dyDescent="0.25">
      <c r="A47" s="1232"/>
      <c r="B47" s="1379" t="s">
        <v>574</v>
      </c>
      <c r="C47" s="1380"/>
      <c r="D47" s="1163"/>
    </row>
    <row r="48" spans="1:256" ht="15.6" x14ac:dyDescent="0.25">
      <c r="A48" s="1232"/>
      <c r="B48" s="1379" t="s">
        <v>606</v>
      </c>
      <c r="C48" s="1380"/>
      <c r="D48" s="1163">
        <v>13000</v>
      </c>
    </row>
    <row r="49" spans="1:256" ht="15.6" x14ac:dyDescent="0.25">
      <c r="A49" s="1232"/>
      <c r="B49" s="1379" t="s">
        <v>575</v>
      </c>
      <c r="C49" s="1380"/>
      <c r="D49" s="1163">
        <v>189840</v>
      </c>
    </row>
    <row r="50" spans="1:256" ht="15.6" x14ac:dyDescent="0.25">
      <c r="A50" s="1232"/>
      <c r="B50" s="1379" t="s">
        <v>607</v>
      </c>
      <c r="C50" s="1380"/>
      <c r="D50" s="1163">
        <v>2000</v>
      </c>
    </row>
    <row r="51" spans="1:256" ht="15.6" x14ac:dyDescent="0.25">
      <c r="A51" s="1232"/>
      <c r="B51" s="1379" t="s">
        <v>630</v>
      </c>
      <c r="C51" s="1380"/>
      <c r="D51" s="1163">
        <v>12000</v>
      </c>
    </row>
    <row r="52" spans="1:256" ht="16.2" x14ac:dyDescent="0.25">
      <c r="A52" s="418" t="s">
        <v>573</v>
      </c>
      <c r="B52" s="1377" t="s">
        <v>576</v>
      </c>
      <c r="C52" s="1378"/>
      <c r="D52" s="1166">
        <f>D53+D54+D55</f>
        <v>350000</v>
      </c>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c r="AC52" s="151"/>
      <c r="AD52" s="151"/>
      <c r="AE52" s="151"/>
      <c r="AF52" s="151"/>
      <c r="AG52" s="151"/>
      <c r="AH52" s="151"/>
      <c r="AI52" s="151"/>
      <c r="AJ52" s="151"/>
      <c r="AK52" s="151"/>
      <c r="AL52" s="151"/>
      <c r="AM52" s="151"/>
      <c r="AN52" s="151"/>
      <c r="AO52" s="151"/>
      <c r="AP52" s="151"/>
      <c r="AQ52" s="151"/>
      <c r="AR52" s="151"/>
      <c r="AS52" s="151"/>
      <c r="AT52" s="151"/>
      <c r="AU52" s="151"/>
      <c r="AV52" s="151"/>
      <c r="AW52" s="151"/>
      <c r="AX52" s="151"/>
      <c r="AY52" s="151"/>
      <c r="AZ52" s="151"/>
      <c r="BA52" s="151"/>
      <c r="BB52" s="151"/>
      <c r="BC52" s="151"/>
      <c r="BD52" s="151"/>
      <c r="BE52" s="151"/>
      <c r="BF52" s="151"/>
      <c r="BG52" s="151"/>
      <c r="BH52" s="151"/>
      <c r="BI52" s="151"/>
      <c r="BJ52" s="151"/>
      <c r="BK52" s="151"/>
      <c r="BL52" s="151"/>
      <c r="BM52" s="151"/>
      <c r="BN52" s="151"/>
      <c r="BO52" s="151"/>
      <c r="BP52" s="151"/>
      <c r="BQ52" s="151"/>
      <c r="BR52" s="151"/>
      <c r="BS52" s="151"/>
      <c r="BT52" s="151"/>
      <c r="BU52" s="151"/>
      <c r="BV52" s="151"/>
      <c r="BW52" s="151"/>
      <c r="BX52" s="151"/>
      <c r="BY52" s="151"/>
      <c r="BZ52" s="151"/>
      <c r="CA52" s="151"/>
      <c r="CB52" s="151"/>
      <c r="CC52" s="151"/>
      <c r="CD52" s="151"/>
      <c r="CE52" s="151"/>
      <c r="CF52" s="151"/>
      <c r="CG52" s="151"/>
      <c r="CH52" s="151"/>
      <c r="CI52" s="151"/>
      <c r="CJ52" s="151"/>
      <c r="CK52" s="151"/>
      <c r="CL52" s="151"/>
      <c r="CM52" s="151"/>
      <c r="CN52" s="151"/>
      <c r="CO52" s="151"/>
      <c r="CP52" s="151"/>
      <c r="CQ52" s="151"/>
      <c r="CR52" s="151"/>
      <c r="CS52" s="151"/>
      <c r="CT52" s="151"/>
      <c r="CU52" s="151"/>
      <c r="CV52" s="151"/>
      <c r="CW52" s="151"/>
      <c r="CX52" s="151"/>
      <c r="CY52" s="151"/>
      <c r="CZ52" s="151"/>
      <c r="DA52" s="151"/>
      <c r="DB52" s="151"/>
      <c r="DC52" s="151"/>
      <c r="DD52" s="151"/>
      <c r="DE52" s="151"/>
      <c r="DF52" s="151"/>
      <c r="DG52" s="151"/>
      <c r="DH52" s="151"/>
      <c r="DI52" s="151"/>
      <c r="DJ52" s="151"/>
      <c r="DK52" s="151"/>
      <c r="DL52" s="151"/>
      <c r="DM52" s="151"/>
      <c r="DN52" s="151"/>
      <c r="DO52" s="151"/>
      <c r="DP52" s="151"/>
      <c r="DQ52" s="151"/>
      <c r="DR52" s="151"/>
      <c r="DS52" s="151"/>
      <c r="DT52" s="151"/>
      <c r="DU52" s="151"/>
      <c r="DV52" s="151"/>
      <c r="DW52" s="151"/>
      <c r="DX52" s="151"/>
      <c r="DY52" s="151"/>
      <c r="DZ52" s="151"/>
      <c r="EA52" s="151"/>
      <c r="EB52" s="151"/>
      <c r="EC52" s="151"/>
      <c r="ED52" s="151"/>
      <c r="EE52" s="151"/>
      <c r="EF52" s="151"/>
      <c r="EG52" s="151"/>
      <c r="EH52" s="151"/>
      <c r="EI52" s="151"/>
      <c r="EJ52" s="151"/>
      <c r="EK52" s="151"/>
      <c r="EL52" s="151"/>
      <c r="EM52" s="151"/>
      <c r="EN52" s="151"/>
      <c r="EO52" s="151"/>
      <c r="EP52" s="151"/>
      <c r="EQ52" s="151"/>
      <c r="ER52" s="151"/>
      <c r="ES52" s="151"/>
      <c r="ET52" s="151"/>
      <c r="EU52" s="151"/>
      <c r="EV52" s="151"/>
      <c r="EW52" s="151"/>
      <c r="EX52" s="151"/>
      <c r="EY52" s="151"/>
      <c r="EZ52" s="151"/>
      <c r="FA52" s="151"/>
      <c r="FB52" s="151"/>
      <c r="FC52" s="151"/>
      <c r="FD52" s="151"/>
      <c r="FE52" s="151"/>
      <c r="FF52" s="151"/>
      <c r="FG52" s="151"/>
      <c r="FH52" s="151"/>
      <c r="FI52" s="151"/>
      <c r="FJ52" s="151"/>
      <c r="FK52" s="151"/>
      <c r="FL52" s="151"/>
      <c r="FM52" s="151"/>
      <c r="FN52" s="151"/>
      <c r="FO52" s="151"/>
      <c r="FP52" s="151"/>
      <c r="FQ52" s="151"/>
      <c r="FR52" s="151"/>
      <c r="FS52" s="151"/>
      <c r="FT52" s="151"/>
      <c r="FU52" s="151"/>
      <c r="FV52" s="151"/>
      <c r="FW52" s="151"/>
      <c r="FX52" s="151"/>
      <c r="FY52" s="151"/>
      <c r="FZ52" s="151"/>
      <c r="GA52" s="151"/>
      <c r="GB52" s="151"/>
      <c r="GC52" s="151"/>
      <c r="GD52" s="151"/>
      <c r="GE52" s="151"/>
      <c r="GF52" s="151"/>
      <c r="GG52" s="151"/>
      <c r="GH52" s="151"/>
      <c r="GI52" s="151"/>
      <c r="GJ52" s="151"/>
      <c r="GK52" s="151"/>
      <c r="GL52" s="151"/>
      <c r="GM52" s="151"/>
      <c r="GN52" s="151"/>
      <c r="GO52" s="151"/>
      <c r="GP52" s="151"/>
      <c r="GQ52" s="151"/>
      <c r="GR52" s="151"/>
      <c r="GS52" s="151"/>
      <c r="GT52" s="151"/>
      <c r="GU52" s="151"/>
      <c r="GV52" s="151"/>
      <c r="GW52" s="151"/>
      <c r="GX52" s="151"/>
      <c r="GY52" s="151"/>
      <c r="GZ52" s="151"/>
      <c r="HA52" s="151"/>
      <c r="HB52" s="151"/>
      <c r="HC52" s="151"/>
      <c r="HD52" s="151"/>
      <c r="HE52" s="151"/>
      <c r="HF52" s="151"/>
      <c r="HG52" s="151"/>
      <c r="HH52" s="151"/>
      <c r="HI52" s="151"/>
      <c r="HJ52" s="151"/>
      <c r="HK52" s="151"/>
      <c r="HL52" s="151"/>
      <c r="HM52" s="151"/>
      <c r="HN52" s="151"/>
      <c r="HO52" s="151"/>
      <c r="HP52" s="151"/>
      <c r="HQ52" s="151"/>
      <c r="HR52" s="151"/>
      <c r="HS52" s="151"/>
      <c r="HT52" s="151"/>
      <c r="HU52" s="151"/>
      <c r="HV52" s="151"/>
      <c r="HW52" s="151"/>
      <c r="HX52" s="151"/>
      <c r="HY52" s="151"/>
      <c r="HZ52" s="151"/>
      <c r="IA52" s="151"/>
      <c r="IB52" s="151"/>
      <c r="IC52" s="151"/>
      <c r="ID52" s="151"/>
      <c r="IE52" s="151"/>
      <c r="IF52" s="151"/>
      <c r="IG52" s="151"/>
      <c r="IH52" s="151"/>
      <c r="II52" s="151"/>
      <c r="IJ52" s="151"/>
      <c r="IK52" s="151"/>
      <c r="IL52" s="151"/>
      <c r="IM52" s="151"/>
      <c r="IN52" s="151"/>
      <c r="IO52" s="151"/>
      <c r="IP52" s="151"/>
      <c r="IQ52" s="151"/>
      <c r="IR52" s="151"/>
      <c r="IS52" s="151"/>
      <c r="IT52" s="151"/>
      <c r="IU52" s="151"/>
      <c r="IV52" s="151"/>
    </row>
    <row r="53" spans="1:256" ht="15.6" x14ac:dyDescent="0.25">
      <c r="A53" s="1232"/>
      <c r="B53" s="1379" t="s">
        <v>603</v>
      </c>
      <c r="C53" s="1380"/>
      <c r="D53" s="1163">
        <v>150000</v>
      </c>
    </row>
    <row r="54" spans="1:256" ht="15.6" x14ac:dyDescent="0.25">
      <c r="A54" s="1232"/>
      <c r="B54" s="1379" t="s">
        <v>577</v>
      </c>
      <c r="C54" s="1380"/>
      <c r="D54" s="1163">
        <v>100000</v>
      </c>
    </row>
    <row r="55" spans="1:256" ht="15.6" x14ac:dyDescent="0.25">
      <c r="A55" s="1232"/>
      <c r="B55" s="1379" t="s">
        <v>574</v>
      </c>
      <c r="C55" s="1380"/>
      <c r="D55" s="1163">
        <v>100000</v>
      </c>
    </row>
    <row r="56" spans="1:256" ht="16.2" x14ac:dyDescent="0.25">
      <c r="A56" s="1092" t="s">
        <v>573</v>
      </c>
      <c r="B56" s="1384" t="s">
        <v>598</v>
      </c>
      <c r="C56" s="1385"/>
      <c r="D56" s="1119">
        <v>44943</v>
      </c>
      <c r="E56" s="145"/>
      <c r="F56" s="145"/>
      <c r="G56" s="145"/>
      <c r="H56" s="145"/>
      <c r="I56" s="145"/>
      <c r="J56" s="145"/>
      <c r="K56" s="145"/>
      <c r="L56" s="145"/>
      <c r="M56" s="145"/>
      <c r="N56" s="145"/>
      <c r="O56" s="145"/>
      <c r="P56" s="145"/>
      <c r="Q56" s="145"/>
      <c r="R56" s="145"/>
      <c r="S56" s="145"/>
      <c r="T56" s="145"/>
      <c r="U56" s="145"/>
      <c r="V56" s="145"/>
      <c r="W56" s="145"/>
      <c r="X56" s="145"/>
      <c r="Y56" s="145"/>
      <c r="Z56" s="145"/>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c r="CN56" s="145"/>
      <c r="CO56" s="145"/>
      <c r="CP56" s="145"/>
      <c r="CQ56" s="145"/>
      <c r="CR56" s="145"/>
      <c r="CS56" s="145"/>
      <c r="CT56" s="145"/>
      <c r="CU56" s="145"/>
      <c r="CV56" s="145"/>
      <c r="CW56" s="145"/>
      <c r="CX56" s="145"/>
      <c r="CY56" s="145"/>
      <c r="CZ56" s="145"/>
      <c r="DA56" s="145"/>
      <c r="DB56" s="145"/>
      <c r="DC56" s="145"/>
      <c r="DD56" s="145"/>
      <c r="DE56" s="145"/>
      <c r="DF56" s="145"/>
      <c r="DG56" s="145"/>
      <c r="DH56" s="145"/>
      <c r="DI56" s="145"/>
      <c r="DJ56" s="145"/>
      <c r="DK56" s="145"/>
      <c r="DL56" s="145"/>
      <c r="DM56" s="145"/>
      <c r="DN56" s="145"/>
      <c r="DO56" s="145"/>
      <c r="DP56" s="145"/>
      <c r="DQ56" s="145"/>
      <c r="DR56" s="145"/>
      <c r="DS56" s="145"/>
      <c r="DT56" s="145"/>
      <c r="DU56" s="145"/>
      <c r="DV56" s="145"/>
      <c r="DW56" s="145"/>
      <c r="DX56" s="145"/>
      <c r="DY56" s="145"/>
      <c r="DZ56" s="145"/>
      <c r="EA56" s="145"/>
      <c r="EB56" s="145"/>
      <c r="EC56" s="145"/>
      <c r="ED56" s="145"/>
      <c r="EE56" s="145"/>
      <c r="EF56" s="145"/>
      <c r="EG56" s="145"/>
      <c r="EH56" s="145"/>
      <c r="EI56" s="145"/>
      <c r="EJ56" s="145"/>
      <c r="EK56" s="145"/>
      <c r="EL56" s="145"/>
      <c r="EM56" s="145"/>
      <c r="EN56" s="145"/>
      <c r="EO56" s="145"/>
      <c r="EP56" s="145"/>
      <c r="EQ56" s="145"/>
      <c r="ER56" s="145"/>
      <c r="ES56" s="145"/>
      <c r="ET56" s="145"/>
      <c r="EU56" s="145"/>
      <c r="EV56" s="145"/>
      <c r="EW56" s="145"/>
      <c r="EX56" s="145"/>
      <c r="EY56" s="145"/>
      <c r="EZ56" s="145"/>
      <c r="FA56" s="145"/>
      <c r="FB56" s="145"/>
      <c r="FC56" s="145"/>
      <c r="FD56" s="145"/>
      <c r="FE56" s="145"/>
      <c r="FF56" s="145"/>
      <c r="FG56" s="145"/>
      <c r="FH56" s="145"/>
      <c r="FI56" s="145"/>
      <c r="FJ56" s="145"/>
      <c r="FK56" s="145"/>
      <c r="FL56" s="145"/>
      <c r="FM56" s="145"/>
      <c r="FN56" s="145"/>
      <c r="FO56" s="145"/>
      <c r="FP56" s="145"/>
      <c r="FQ56" s="145"/>
      <c r="FR56" s="145"/>
      <c r="FS56" s="145"/>
      <c r="FT56" s="145"/>
      <c r="FU56" s="145"/>
      <c r="FV56" s="145"/>
      <c r="FW56" s="145"/>
      <c r="FX56" s="145"/>
      <c r="FY56" s="145"/>
      <c r="FZ56" s="145"/>
      <c r="GA56" s="145"/>
      <c r="GB56" s="145"/>
      <c r="GC56" s="145"/>
      <c r="GD56" s="145"/>
      <c r="GE56" s="145"/>
      <c r="GF56" s="145"/>
      <c r="GG56" s="145"/>
      <c r="GH56" s="145"/>
      <c r="GI56" s="145"/>
      <c r="GJ56" s="145"/>
      <c r="GK56" s="145"/>
      <c r="GL56" s="145"/>
      <c r="GM56" s="145"/>
      <c r="GN56" s="145"/>
      <c r="GO56" s="145"/>
      <c r="GP56" s="145"/>
      <c r="GQ56" s="145"/>
      <c r="GR56" s="145"/>
      <c r="GS56" s="145"/>
      <c r="GT56" s="145"/>
      <c r="GU56" s="145"/>
      <c r="GV56" s="145"/>
      <c r="GW56" s="145"/>
      <c r="GX56" s="145"/>
      <c r="GY56" s="145"/>
      <c r="GZ56" s="145"/>
      <c r="HA56" s="145"/>
      <c r="HB56" s="145"/>
      <c r="HC56" s="145"/>
      <c r="HD56" s="145"/>
      <c r="HE56" s="145"/>
      <c r="HF56" s="145"/>
      <c r="HG56" s="145"/>
      <c r="HH56" s="145"/>
      <c r="HI56" s="145"/>
      <c r="HJ56" s="145"/>
      <c r="HK56" s="145"/>
      <c r="HL56" s="145"/>
      <c r="HM56" s="145"/>
      <c r="HN56" s="145"/>
      <c r="HO56" s="145"/>
      <c r="HP56" s="145"/>
      <c r="HQ56" s="145"/>
      <c r="HR56" s="145"/>
      <c r="HS56" s="145"/>
      <c r="HT56" s="145"/>
      <c r="HU56" s="145"/>
      <c r="HV56" s="145"/>
      <c r="HW56" s="145"/>
      <c r="HX56" s="145"/>
      <c r="HY56" s="145"/>
      <c r="HZ56" s="145"/>
      <c r="IA56" s="145"/>
      <c r="IB56" s="145"/>
      <c r="IC56" s="145"/>
      <c r="ID56" s="145"/>
      <c r="IE56" s="145"/>
      <c r="IF56" s="145"/>
      <c r="IG56" s="145"/>
      <c r="IH56" s="145"/>
      <c r="II56" s="145"/>
      <c r="IJ56" s="145"/>
      <c r="IK56" s="145"/>
      <c r="IL56" s="145"/>
      <c r="IM56" s="145"/>
      <c r="IN56" s="145"/>
      <c r="IO56" s="145"/>
      <c r="IP56" s="145"/>
      <c r="IQ56" s="145"/>
      <c r="IR56" s="145"/>
      <c r="IS56" s="145"/>
      <c r="IT56" s="145"/>
      <c r="IU56" s="145"/>
      <c r="IV56" s="145"/>
    </row>
    <row r="57" spans="1:256" ht="15.6" x14ac:dyDescent="0.25">
      <c r="A57" s="417">
        <v>1151300000</v>
      </c>
      <c r="B57" s="203" t="s">
        <v>558</v>
      </c>
      <c r="C57" s="204"/>
      <c r="D57" s="1119">
        <f>D58</f>
        <v>200000</v>
      </c>
      <c r="E57" s="150"/>
      <c r="F57" s="150"/>
      <c r="G57" s="150"/>
      <c r="H57" s="150"/>
      <c r="I57" s="150"/>
      <c r="J57" s="150"/>
      <c r="K57" s="150"/>
      <c r="L57" s="150"/>
      <c r="M57" s="150"/>
      <c r="N57" s="150"/>
      <c r="O57" s="150"/>
      <c r="P57" s="150"/>
      <c r="Q57" s="150"/>
      <c r="R57" s="150"/>
      <c r="S57" s="150"/>
      <c r="T57" s="150"/>
      <c r="U57" s="150"/>
      <c r="V57" s="150"/>
      <c r="W57" s="150"/>
      <c r="X57" s="150"/>
      <c r="Y57" s="150"/>
      <c r="Z57" s="150"/>
      <c r="AA57" s="150"/>
      <c r="AB57" s="150"/>
      <c r="AC57" s="150"/>
      <c r="AD57" s="150"/>
      <c r="AE57" s="150"/>
      <c r="AF57" s="150"/>
      <c r="AG57" s="150"/>
      <c r="AH57" s="150"/>
      <c r="AI57" s="150"/>
      <c r="AJ57" s="150"/>
      <c r="AK57" s="150"/>
      <c r="AL57" s="150"/>
      <c r="AM57" s="150"/>
      <c r="AN57" s="150"/>
      <c r="AO57" s="150"/>
      <c r="AP57" s="150"/>
      <c r="AQ57" s="150"/>
      <c r="AR57" s="150"/>
      <c r="AS57" s="150"/>
      <c r="AT57" s="150"/>
      <c r="AU57" s="150"/>
      <c r="AV57" s="150"/>
      <c r="AW57" s="150"/>
      <c r="AX57" s="150"/>
      <c r="AY57" s="150"/>
      <c r="AZ57" s="150"/>
      <c r="BA57" s="150"/>
      <c r="BB57" s="150"/>
      <c r="BC57" s="150"/>
      <c r="BD57" s="150"/>
      <c r="BE57" s="150"/>
      <c r="BF57" s="150"/>
      <c r="BG57" s="150"/>
      <c r="BH57" s="150"/>
      <c r="BI57" s="150"/>
      <c r="BJ57" s="150"/>
      <c r="BK57" s="150"/>
      <c r="BL57" s="150"/>
      <c r="BM57" s="150"/>
      <c r="BN57" s="150"/>
      <c r="BO57" s="150"/>
      <c r="BP57" s="150"/>
      <c r="BQ57" s="150"/>
      <c r="BR57" s="150"/>
      <c r="BS57" s="150"/>
      <c r="BT57" s="150"/>
      <c r="BU57" s="150"/>
      <c r="BV57" s="150"/>
      <c r="BW57" s="150"/>
      <c r="BX57" s="150"/>
      <c r="BY57" s="150"/>
      <c r="BZ57" s="150"/>
      <c r="CA57" s="150"/>
      <c r="CB57" s="150"/>
      <c r="CC57" s="150"/>
      <c r="CD57" s="150"/>
      <c r="CE57" s="150"/>
      <c r="CF57" s="150"/>
      <c r="CG57" s="150"/>
      <c r="CH57" s="150"/>
      <c r="CI57" s="150"/>
      <c r="CJ57" s="150"/>
      <c r="CK57" s="150"/>
      <c r="CL57" s="150"/>
      <c r="CM57" s="150"/>
      <c r="CN57" s="150"/>
      <c r="CO57" s="150"/>
      <c r="CP57" s="150"/>
      <c r="CQ57" s="150"/>
      <c r="CR57" s="150"/>
      <c r="CS57" s="150"/>
      <c r="CT57" s="150"/>
      <c r="CU57" s="150"/>
      <c r="CV57" s="150"/>
      <c r="CW57" s="150"/>
      <c r="CX57" s="150"/>
      <c r="CY57" s="150"/>
      <c r="CZ57" s="150"/>
      <c r="DA57" s="150"/>
      <c r="DB57" s="150"/>
      <c r="DC57" s="150"/>
      <c r="DD57" s="150"/>
      <c r="DE57" s="150"/>
      <c r="DF57" s="150"/>
      <c r="DG57" s="150"/>
      <c r="DH57" s="150"/>
      <c r="DI57" s="150"/>
      <c r="DJ57" s="150"/>
      <c r="DK57" s="150"/>
      <c r="DL57" s="150"/>
      <c r="DM57" s="150"/>
      <c r="DN57" s="150"/>
      <c r="DO57" s="150"/>
      <c r="DP57" s="150"/>
      <c r="DQ57" s="150"/>
      <c r="DR57" s="150"/>
      <c r="DS57" s="150"/>
      <c r="DT57" s="150"/>
      <c r="DU57" s="150"/>
      <c r="DV57" s="150"/>
      <c r="DW57" s="150"/>
      <c r="DX57" s="150"/>
      <c r="DY57" s="150"/>
      <c r="DZ57" s="150"/>
      <c r="EA57" s="150"/>
      <c r="EB57" s="150"/>
      <c r="EC57" s="150"/>
      <c r="ED57" s="150"/>
      <c r="EE57" s="150"/>
      <c r="EF57" s="150"/>
      <c r="EG57" s="150"/>
      <c r="EH57" s="150"/>
      <c r="EI57" s="150"/>
      <c r="EJ57" s="150"/>
      <c r="EK57" s="150"/>
      <c r="EL57" s="150"/>
      <c r="EM57" s="150"/>
      <c r="EN57" s="150"/>
      <c r="EO57" s="150"/>
      <c r="EP57" s="150"/>
      <c r="EQ57" s="150"/>
      <c r="ER57" s="150"/>
      <c r="ES57" s="150"/>
      <c r="ET57" s="150"/>
      <c r="EU57" s="150"/>
      <c r="EV57" s="150"/>
      <c r="EW57" s="150"/>
      <c r="EX57" s="150"/>
      <c r="EY57" s="150"/>
      <c r="EZ57" s="150"/>
      <c r="FA57" s="150"/>
      <c r="FB57" s="150"/>
      <c r="FC57" s="150"/>
      <c r="FD57" s="150"/>
      <c r="FE57" s="150"/>
      <c r="FF57" s="150"/>
      <c r="FG57" s="150"/>
      <c r="FH57" s="150"/>
      <c r="FI57" s="150"/>
      <c r="FJ57" s="150"/>
      <c r="FK57" s="150"/>
      <c r="FL57" s="150"/>
      <c r="FM57" s="150"/>
      <c r="FN57" s="150"/>
      <c r="FO57" s="150"/>
      <c r="FP57" s="150"/>
      <c r="FQ57" s="150"/>
      <c r="FR57" s="150"/>
      <c r="FS57" s="150"/>
      <c r="FT57" s="150"/>
      <c r="FU57" s="150"/>
      <c r="FV57" s="150"/>
      <c r="FW57" s="150"/>
      <c r="FX57" s="150"/>
      <c r="FY57" s="150"/>
      <c r="FZ57" s="150"/>
      <c r="GA57" s="150"/>
      <c r="GB57" s="150"/>
      <c r="GC57" s="150"/>
      <c r="GD57" s="150"/>
      <c r="GE57" s="150"/>
      <c r="GF57" s="150"/>
      <c r="GG57" s="150"/>
      <c r="GH57" s="150"/>
      <c r="GI57" s="150"/>
      <c r="GJ57" s="150"/>
      <c r="GK57" s="150"/>
      <c r="GL57" s="150"/>
      <c r="GM57" s="150"/>
      <c r="GN57" s="150"/>
      <c r="GO57" s="150"/>
      <c r="GP57" s="150"/>
      <c r="GQ57" s="150"/>
      <c r="GR57" s="150"/>
      <c r="GS57" s="150"/>
      <c r="GT57" s="150"/>
      <c r="GU57" s="150"/>
      <c r="GV57" s="150"/>
      <c r="GW57" s="150"/>
      <c r="GX57" s="150"/>
      <c r="GY57" s="150"/>
      <c r="GZ57" s="150"/>
      <c r="HA57" s="150"/>
      <c r="HB57" s="150"/>
      <c r="HC57" s="150"/>
      <c r="HD57" s="150"/>
      <c r="HE57" s="150"/>
      <c r="HF57" s="150"/>
      <c r="HG57" s="150"/>
      <c r="HH57" s="150"/>
      <c r="HI57" s="150"/>
      <c r="HJ57" s="150"/>
      <c r="HK57" s="150"/>
      <c r="HL57" s="150"/>
      <c r="HM57" s="150"/>
      <c r="HN57" s="150"/>
      <c r="HO57" s="150"/>
      <c r="HP57" s="150"/>
      <c r="HQ57" s="150"/>
      <c r="HR57" s="150"/>
      <c r="HS57" s="150"/>
      <c r="HT57" s="150"/>
      <c r="HU57" s="150"/>
      <c r="HV57" s="150"/>
      <c r="HW57" s="150"/>
      <c r="HX57" s="150"/>
      <c r="HY57" s="150"/>
      <c r="HZ57" s="150"/>
      <c r="IA57" s="150"/>
      <c r="IB57" s="150"/>
      <c r="IC57" s="150"/>
      <c r="ID57" s="150"/>
      <c r="IE57" s="150"/>
      <c r="IF57" s="150"/>
      <c r="IG57" s="150"/>
      <c r="IH57" s="150"/>
      <c r="II57" s="150"/>
      <c r="IJ57" s="150"/>
      <c r="IK57" s="150"/>
      <c r="IL57" s="150"/>
      <c r="IM57" s="150"/>
      <c r="IN57" s="150"/>
      <c r="IO57" s="150"/>
      <c r="IP57" s="150"/>
      <c r="IQ57" s="150"/>
      <c r="IR57" s="150"/>
      <c r="IS57" s="150"/>
      <c r="IT57" s="150"/>
      <c r="IU57" s="150"/>
      <c r="IV57" s="150"/>
    </row>
    <row r="58" spans="1:256" ht="16.2" x14ac:dyDescent="0.25">
      <c r="A58" s="418" t="s">
        <v>573</v>
      </c>
      <c r="B58" s="1377" t="s">
        <v>576</v>
      </c>
      <c r="C58" s="1378"/>
      <c r="D58" s="1166">
        <f>D59+D60</f>
        <v>200000</v>
      </c>
      <c r="E58" s="151"/>
      <c r="F58" s="151"/>
      <c r="G58" s="151"/>
      <c r="H58" s="151"/>
      <c r="I58" s="151"/>
      <c r="J58" s="151"/>
      <c r="K58" s="151"/>
      <c r="L58" s="151"/>
      <c r="M58" s="151"/>
      <c r="N58" s="151"/>
      <c r="O58" s="151"/>
      <c r="P58" s="151"/>
      <c r="Q58" s="151"/>
      <c r="R58" s="151"/>
      <c r="S58" s="151"/>
      <c r="T58" s="151"/>
      <c r="U58" s="151"/>
      <c r="V58" s="151"/>
      <c r="W58" s="151"/>
      <c r="X58" s="151"/>
      <c r="Y58" s="151"/>
      <c r="Z58" s="151"/>
      <c r="AA58" s="151"/>
      <c r="AB58" s="151"/>
      <c r="AC58" s="151"/>
      <c r="AD58" s="151"/>
      <c r="AE58" s="151"/>
      <c r="AF58" s="151"/>
      <c r="AG58" s="151"/>
      <c r="AH58" s="151"/>
      <c r="AI58" s="151"/>
      <c r="AJ58" s="151"/>
      <c r="AK58" s="151"/>
      <c r="AL58" s="151"/>
      <c r="AM58" s="151"/>
      <c r="AN58" s="151"/>
      <c r="AO58" s="151"/>
      <c r="AP58" s="151"/>
      <c r="AQ58" s="151"/>
      <c r="AR58" s="151"/>
      <c r="AS58" s="151"/>
      <c r="AT58" s="151"/>
      <c r="AU58" s="151"/>
      <c r="AV58" s="151"/>
      <c r="AW58" s="151"/>
      <c r="AX58" s="151"/>
      <c r="AY58" s="151"/>
      <c r="AZ58" s="151"/>
      <c r="BA58" s="151"/>
      <c r="BB58" s="151"/>
      <c r="BC58" s="151"/>
      <c r="BD58" s="151"/>
      <c r="BE58" s="151"/>
      <c r="BF58" s="151"/>
      <c r="BG58" s="151"/>
      <c r="BH58" s="151"/>
      <c r="BI58" s="151"/>
      <c r="BJ58" s="151"/>
      <c r="BK58" s="151"/>
      <c r="BL58" s="151"/>
      <c r="BM58" s="151"/>
      <c r="BN58" s="151"/>
      <c r="BO58" s="151"/>
      <c r="BP58" s="151"/>
      <c r="BQ58" s="151"/>
      <c r="BR58" s="151"/>
      <c r="BS58" s="151"/>
      <c r="BT58" s="151"/>
      <c r="BU58" s="151"/>
      <c r="BV58" s="151"/>
      <c r="BW58" s="151"/>
      <c r="BX58" s="151"/>
      <c r="BY58" s="151"/>
      <c r="BZ58" s="151"/>
      <c r="CA58" s="151"/>
      <c r="CB58" s="151"/>
      <c r="CC58" s="151"/>
      <c r="CD58" s="151"/>
      <c r="CE58" s="151"/>
      <c r="CF58" s="151"/>
      <c r="CG58" s="151"/>
      <c r="CH58" s="151"/>
      <c r="CI58" s="151"/>
      <c r="CJ58" s="151"/>
      <c r="CK58" s="151"/>
      <c r="CL58" s="151"/>
      <c r="CM58" s="151"/>
      <c r="CN58" s="151"/>
      <c r="CO58" s="151"/>
      <c r="CP58" s="151"/>
      <c r="CQ58" s="151"/>
      <c r="CR58" s="151"/>
      <c r="CS58" s="151"/>
      <c r="CT58" s="151"/>
      <c r="CU58" s="151"/>
      <c r="CV58" s="151"/>
      <c r="CW58" s="151"/>
      <c r="CX58" s="151"/>
      <c r="CY58" s="151"/>
      <c r="CZ58" s="151"/>
      <c r="DA58" s="151"/>
      <c r="DB58" s="151"/>
      <c r="DC58" s="151"/>
      <c r="DD58" s="151"/>
      <c r="DE58" s="151"/>
      <c r="DF58" s="151"/>
      <c r="DG58" s="151"/>
      <c r="DH58" s="151"/>
      <c r="DI58" s="151"/>
      <c r="DJ58" s="151"/>
      <c r="DK58" s="151"/>
      <c r="DL58" s="151"/>
      <c r="DM58" s="151"/>
      <c r="DN58" s="151"/>
      <c r="DO58" s="151"/>
      <c r="DP58" s="151"/>
      <c r="DQ58" s="151"/>
      <c r="DR58" s="151"/>
      <c r="DS58" s="151"/>
      <c r="DT58" s="151"/>
      <c r="DU58" s="151"/>
      <c r="DV58" s="151"/>
      <c r="DW58" s="151"/>
      <c r="DX58" s="151"/>
      <c r="DY58" s="151"/>
      <c r="DZ58" s="151"/>
      <c r="EA58" s="151"/>
      <c r="EB58" s="151"/>
      <c r="EC58" s="151"/>
      <c r="ED58" s="151"/>
      <c r="EE58" s="151"/>
      <c r="EF58" s="151"/>
      <c r="EG58" s="151"/>
      <c r="EH58" s="151"/>
      <c r="EI58" s="151"/>
      <c r="EJ58" s="151"/>
      <c r="EK58" s="151"/>
      <c r="EL58" s="151"/>
      <c r="EM58" s="151"/>
      <c r="EN58" s="151"/>
      <c r="EO58" s="151"/>
      <c r="EP58" s="151"/>
      <c r="EQ58" s="151"/>
      <c r="ER58" s="151"/>
      <c r="ES58" s="151"/>
      <c r="ET58" s="151"/>
      <c r="EU58" s="151"/>
      <c r="EV58" s="151"/>
      <c r="EW58" s="151"/>
      <c r="EX58" s="151"/>
      <c r="EY58" s="151"/>
      <c r="EZ58" s="151"/>
      <c r="FA58" s="151"/>
      <c r="FB58" s="151"/>
      <c r="FC58" s="151"/>
      <c r="FD58" s="151"/>
      <c r="FE58" s="151"/>
      <c r="FF58" s="151"/>
      <c r="FG58" s="151"/>
      <c r="FH58" s="151"/>
      <c r="FI58" s="151"/>
      <c r="FJ58" s="151"/>
      <c r="FK58" s="151"/>
      <c r="FL58" s="151"/>
      <c r="FM58" s="151"/>
      <c r="FN58" s="151"/>
      <c r="FO58" s="151"/>
      <c r="FP58" s="151"/>
      <c r="FQ58" s="151"/>
      <c r="FR58" s="151"/>
      <c r="FS58" s="151"/>
      <c r="FT58" s="151"/>
      <c r="FU58" s="151"/>
      <c r="FV58" s="151"/>
      <c r="FW58" s="151"/>
      <c r="FX58" s="151"/>
      <c r="FY58" s="151"/>
      <c r="FZ58" s="151"/>
      <c r="GA58" s="151"/>
      <c r="GB58" s="151"/>
      <c r="GC58" s="151"/>
      <c r="GD58" s="151"/>
      <c r="GE58" s="151"/>
      <c r="GF58" s="151"/>
      <c r="GG58" s="151"/>
      <c r="GH58" s="151"/>
      <c r="GI58" s="151"/>
      <c r="GJ58" s="151"/>
      <c r="GK58" s="151"/>
      <c r="GL58" s="151"/>
      <c r="GM58" s="151"/>
      <c r="GN58" s="151"/>
      <c r="GO58" s="151"/>
      <c r="GP58" s="151"/>
      <c r="GQ58" s="151"/>
      <c r="GR58" s="151"/>
      <c r="GS58" s="151"/>
      <c r="GT58" s="151"/>
      <c r="GU58" s="151"/>
      <c r="GV58" s="151"/>
      <c r="GW58" s="151"/>
      <c r="GX58" s="151"/>
      <c r="GY58" s="151"/>
      <c r="GZ58" s="151"/>
      <c r="HA58" s="151"/>
      <c r="HB58" s="151"/>
      <c r="HC58" s="151"/>
      <c r="HD58" s="151"/>
      <c r="HE58" s="151"/>
      <c r="HF58" s="151"/>
      <c r="HG58" s="151"/>
      <c r="HH58" s="151"/>
      <c r="HI58" s="151"/>
      <c r="HJ58" s="151"/>
      <c r="HK58" s="151"/>
      <c r="HL58" s="151"/>
      <c r="HM58" s="151"/>
      <c r="HN58" s="151"/>
      <c r="HO58" s="151"/>
      <c r="HP58" s="151"/>
      <c r="HQ58" s="151"/>
      <c r="HR58" s="151"/>
      <c r="HS58" s="151"/>
      <c r="HT58" s="151"/>
      <c r="HU58" s="151"/>
      <c r="HV58" s="151"/>
      <c r="HW58" s="151"/>
      <c r="HX58" s="151"/>
      <c r="HY58" s="151"/>
      <c r="HZ58" s="151"/>
      <c r="IA58" s="151"/>
      <c r="IB58" s="151"/>
      <c r="IC58" s="151"/>
      <c r="ID58" s="151"/>
      <c r="IE58" s="151"/>
      <c r="IF58" s="151"/>
      <c r="IG58" s="151"/>
      <c r="IH58" s="151"/>
      <c r="II58" s="151"/>
      <c r="IJ58" s="151"/>
      <c r="IK58" s="151"/>
      <c r="IL58" s="151"/>
      <c r="IM58" s="151"/>
      <c r="IN58" s="151"/>
      <c r="IO58" s="151"/>
      <c r="IP58" s="151"/>
      <c r="IQ58" s="151"/>
      <c r="IR58" s="151"/>
      <c r="IS58" s="151"/>
      <c r="IT58" s="151"/>
      <c r="IU58" s="151"/>
      <c r="IV58" s="151"/>
    </row>
    <row r="59" spans="1:256" ht="16.2" x14ac:dyDescent="0.25">
      <c r="A59" s="418"/>
      <c r="B59" s="1388" t="s">
        <v>577</v>
      </c>
      <c r="C59" s="1389"/>
      <c r="D59" s="1167">
        <v>100000</v>
      </c>
      <c r="E59" s="151"/>
      <c r="F59" s="151"/>
      <c r="G59" s="151"/>
      <c r="H59" s="151"/>
      <c r="I59" s="151"/>
      <c r="J59" s="151"/>
      <c r="K59" s="151"/>
      <c r="L59" s="151"/>
      <c r="M59" s="151"/>
      <c r="N59" s="151"/>
      <c r="O59" s="151"/>
      <c r="P59" s="151"/>
      <c r="Q59" s="151"/>
      <c r="R59" s="151"/>
      <c r="S59" s="151"/>
      <c r="T59" s="151"/>
      <c r="U59" s="151"/>
      <c r="V59" s="151"/>
      <c r="W59" s="151"/>
      <c r="X59" s="151"/>
      <c r="Y59" s="151"/>
      <c r="Z59" s="151"/>
      <c r="AA59" s="151"/>
      <c r="AB59" s="151"/>
      <c r="AC59" s="151"/>
      <c r="AD59" s="151"/>
      <c r="AE59" s="151"/>
      <c r="AF59" s="151"/>
      <c r="AG59" s="151"/>
      <c r="AH59" s="151"/>
      <c r="AI59" s="151"/>
      <c r="AJ59" s="151"/>
      <c r="AK59" s="151"/>
      <c r="AL59" s="151"/>
      <c r="AM59" s="151"/>
      <c r="AN59" s="151"/>
      <c r="AO59" s="151"/>
      <c r="AP59" s="151"/>
      <c r="AQ59" s="151"/>
      <c r="AR59" s="151"/>
      <c r="AS59" s="151"/>
      <c r="AT59" s="151"/>
      <c r="AU59" s="151"/>
      <c r="AV59" s="151"/>
      <c r="AW59" s="151"/>
      <c r="AX59" s="151"/>
      <c r="AY59" s="151"/>
      <c r="AZ59" s="151"/>
      <c r="BA59" s="151"/>
      <c r="BB59" s="151"/>
      <c r="BC59" s="151"/>
      <c r="BD59" s="151"/>
      <c r="BE59" s="151"/>
      <c r="BF59" s="151"/>
      <c r="BG59" s="151"/>
      <c r="BH59" s="151"/>
      <c r="BI59" s="151"/>
      <c r="BJ59" s="151"/>
      <c r="BK59" s="151"/>
      <c r="BL59" s="151"/>
      <c r="BM59" s="151"/>
      <c r="BN59" s="151"/>
      <c r="BO59" s="151"/>
      <c r="BP59" s="151"/>
      <c r="BQ59" s="151"/>
      <c r="BR59" s="151"/>
      <c r="BS59" s="151"/>
      <c r="BT59" s="151"/>
      <c r="BU59" s="151"/>
      <c r="BV59" s="151"/>
      <c r="BW59" s="151"/>
      <c r="BX59" s="151"/>
      <c r="BY59" s="151"/>
      <c r="BZ59" s="151"/>
      <c r="CA59" s="151"/>
      <c r="CB59" s="151"/>
      <c r="CC59" s="151"/>
      <c r="CD59" s="151"/>
      <c r="CE59" s="151"/>
      <c r="CF59" s="151"/>
      <c r="CG59" s="151"/>
      <c r="CH59" s="151"/>
      <c r="CI59" s="151"/>
      <c r="CJ59" s="151"/>
      <c r="CK59" s="151"/>
      <c r="CL59" s="151"/>
      <c r="CM59" s="151"/>
      <c r="CN59" s="151"/>
      <c r="CO59" s="151"/>
      <c r="CP59" s="151"/>
      <c r="CQ59" s="151"/>
      <c r="CR59" s="151"/>
      <c r="CS59" s="151"/>
      <c r="CT59" s="151"/>
      <c r="CU59" s="151"/>
      <c r="CV59" s="151"/>
      <c r="CW59" s="151"/>
      <c r="CX59" s="151"/>
      <c r="CY59" s="151"/>
      <c r="CZ59" s="151"/>
      <c r="DA59" s="151"/>
      <c r="DB59" s="151"/>
      <c r="DC59" s="151"/>
      <c r="DD59" s="151"/>
      <c r="DE59" s="151"/>
      <c r="DF59" s="151"/>
      <c r="DG59" s="151"/>
      <c r="DH59" s="151"/>
      <c r="DI59" s="151"/>
      <c r="DJ59" s="151"/>
      <c r="DK59" s="151"/>
      <c r="DL59" s="151"/>
      <c r="DM59" s="151"/>
      <c r="DN59" s="151"/>
      <c r="DO59" s="151"/>
      <c r="DP59" s="151"/>
      <c r="DQ59" s="151"/>
      <c r="DR59" s="151"/>
      <c r="DS59" s="151"/>
      <c r="DT59" s="151"/>
      <c r="DU59" s="151"/>
      <c r="DV59" s="151"/>
      <c r="DW59" s="151"/>
      <c r="DX59" s="151"/>
      <c r="DY59" s="151"/>
      <c r="DZ59" s="151"/>
      <c r="EA59" s="151"/>
      <c r="EB59" s="151"/>
      <c r="EC59" s="151"/>
      <c r="ED59" s="151"/>
      <c r="EE59" s="151"/>
      <c r="EF59" s="151"/>
      <c r="EG59" s="151"/>
      <c r="EH59" s="151"/>
      <c r="EI59" s="151"/>
      <c r="EJ59" s="151"/>
      <c r="EK59" s="151"/>
      <c r="EL59" s="151"/>
      <c r="EM59" s="151"/>
      <c r="EN59" s="151"/>
      <c r="EO59" s="151"/>
      <c r="EP59" s="151"/>
      <c r="EQ59" s="151"/>
      <c r="ER59" s="151"/>
      <c r="ES59" s="151"/>
      <c r="ET59" s="151"/>
      <c r="EU59" s="151"/>
      <c r="EV59" s="151"/>
      <c r="EW59" s="151"/>
      <c r="EX59" s="151"/>
      <c r="EY59" s="151"/>
      <c r="EZ59" s="151"/>
      <c r="FA59" s="151"/>
      <c r="FB59" s="151"/>
      <c r="FC59" s="151"/>
      <c r="FD59" s="151"/>
      <c r="FE59" s="151"/>
      <c r="FF59" s="151"/>
      <c r="FG59" s="151"/>
      <c r="FH59" s="151"/>
      <c r="FI59" s="151"/>
      <c r="FJ59" s="151"/>
      <c r="FK59" s="151"/>
      <c r="FL59" s="151"/>
      <c r="FM59" s="151"/>
      <c r="FN59" s="151"/>
      <c r="FO59" s="151"/>
      <c r="FP59" s="151"/>
      <c r="FQ59" s="151"/>
      <c r="FR59" s="151"/>
      <c r="FS59" s="151"/>
      <c r="FT59" s="151"/>
      <c r="FU59" s="151"/>
      <c r="FV59" s="151"/>
      <c r="FW59" s="151"/>
      <c r="FX59" s="151"/>
      <c r="FY59" s="151"/>
      <c r="FZ59" s="151"/>
      <c r="GA59" s="151"/>
      <c r="GB59" s="151"/>
      <c r="GC59" s="151"/>
      <c r="GD59" s="151"/>
      <c r="GE59" s="151"/>
      <c r="GF59" s="151"/>
      <c r="GG59" s="151"/>
      <c r="GH59" s="151"/>
      <c r="GI59" s="151"/>
      <c r="GJ59" s="151"/>
      <c r="GK59" s="151"/>
      <c r="GL59" s="151"/>
      <c r="GM59" s="151"/>
      <c r="GN59" s="151"/>
      <c r="GO59" s="151"/>
      <c r="GP59" s="151"/>
      <c r="GQ59" s="151"/>
      <c r="GR59" s="151"/>
      <c r="GS59" s="151"/>
      <c r="GT59" s="151"/>
      <c r="GU59" s="151"/>
      <c r="GV59" s="151"/>
      <c r="GW59" s="151"/>
      <c r="GX59" s="151"/>
      <c r="GY59" s="151"/>
      <c r="GZ59" s="151"/>
      <c r="HA59" s="151"/>
      <c r="HB59" s="151"/>
      <c r="HC59" s="151"/>
      <c r="HD59" s="151"/>
      <c r="HE59" s="151"/>
      <c r="HF59" s="151"/>
      <c r="HG59" s="151"/>
      <c r="HH59" s="151"/>
      <c r="HI59" s="151"/>
      <c r="HJ59" s="151"/>
      <c r="HK59" s="151"/>
      <c r="HL59" s="151"/>
      <c r="HM59" s="151"/>
      <c r="HN59" s="151"/>
      <c r="HO59" s="151"/>
      <c r="HP59" s="151"/>
      <c r="HQ59" s="151"/>
      <c r="HR59" s="151"/>
      <c r="HS59" s="151"/>
      <c r="HT59" s="151"/>
      <c r="HU59" s="151"/>
      <c r="HV59" s="151"/>
      <c r="HW59" s="151"/>
      <c r="HX59" s="151"/>
      <c r="HY59" s="151"/>
      <c r="HZ59" s="151"/>
      <c r="IA59" s="151"/>
      <c r="IB59" s="151"/>
      <c r="IC59" s="151"/>
      <c r="ID59" s="151"/>
      <c r="IE59" s="151"/>
      <c r="IF59" s="151"/>
      <c r="IG59" s="151"/>
      <c r="IH59" s="151"/>
      <c r="II59" s="151"/>
      <c r="IJ59" s="151"/>
      <c r="IK59" s="151"/>
      <c r="IL59" s="151"/>
      <c r="IM59" s="151"/>
      <c r="IN59" s="151"/>
      <c r="IO59" s="151"/>
      <c r="IP59" s="151"/>
      <c r="IQ59" s="151"/>
      <c r="IR59" s="151"/>
      <c r="IS59" s="151"/>
      <c r="IT59" s="151"/>
      <c r="IU59" s="151"/>
      <c r="IV59" s="151"/>
    </row>
    <row r="60" spans="1:256" ht="16.2" x14ac:dyDescent="0.25">
      <c r="A60" s="418"/>
      <c r="B60" s="1379" t="s">
        <v>574</v>
      </c>
      <c r="C60" s="1380"/>
      <c r="D60" s="1167">
        <v>100000</v>
      </c>
      <c r="E60" s="151"/>
      <c r="F60" s="151"/>
      <c r="G60" s="151"/>
      <c r="H60" s="151"/>
      <c r="I60" s="151"/>
      <c r="J60" s="151"/>
      <c r="K60" s="151"/>
      <c r="L60" s="151"/>
      <c r="M60" s="151"/>
      <c r="N60" s="151"/>
      <c r="O60" s="151"/>
      <c r="P60" s="151"/>
      <c r="Q60" s="151"/>
      <c r="R60" s="151"/>
      <c r="S60" s="151"/>
      <c r="T60" s="151"/>
      <c r="U60" s="151"/>
      <c r="V60" s="151"/>
      <c r="W60" s="151"/>
      <c r="X60" s="151"/>
      <c r="Y60" s="151"/>
      <c r="Z60" s="151"/>
      <c r="AA60" s="151"/>
      <c r="AB60" s="151"/>
      <c r="AC60" s="151"/>
      <c r="AD60" s="151"/>
      <c r="AE60" s="151"/>
      <c r="AF60" s="151"/>
      <c r="AG60" s="151"/>
      <c r="AH60" s="151"/>
      <c r="AI60" s="151"/>
      <c r="AJ60" s="151"/>
      <c r="AK60" s="151"/>
      <c r="AL60" s="151"/>
      <c r="AM60" s="151"/>
      <c r="AN60" s="151"/>
      <c r="AO60" s="151"/>
      <c r="AP60" s="151"/>
      <c r="AQ60" s="151"/>
      <c r="AR60" s="151"/>
      <c r="AS60" s="151"/>
      <c r="AT60" s="151"/>
      <c r="AU60" s="151"/>
      <c r="AV60" s="151"/>
      <c r="AW60" s="151"/>
      <c r="AX60" s="151"/>
      <c r="AY60" s="151"/>
      <c r="AZ60" s="151"/>
      <c r="BA60" s="151"/>
      <c r="BB60" s="151"/>
      <c r="BC60" s="151"/>
      <c r="BD60" s="151"/>
      <c r="BE60" s="151"/>
      <c r="BF60" s="151"/>
      <c r="BG60" s="151"/>
      <c r="BH60" s="151"/>
      <c r="BI60" s="151"/>
      <c r="BJ60" s="151"/>
      <c r="BK60" s="151"/>
      <c r="BL60" s="151"/>
      <c r="BM60" s="151"/>
      <c r="BN60" s="151"/>
      <c r="BO60" s="151"/>
      <c r="BP60" s="151"/>
      <c r="BQ60" s="151"/>
      <c r="BR60" s="151"/>
      <c r="BS60" s="151"/>
      <c r="BT60" s="151"/>
      <c r="BU60" s="151"/>
      <c r="BV60" s="151"/>
      <c r="BW60" s="151"/>
      <c r="BX60" s="151"/>
      <c r="BY60" s="151"/>
      <c r="BZ60" s="151"/>
      <c r="CA60" s="151"/>
      <c r="CB60" s="151"/>
      <c r="CC60" s="151"/>
      <c r="CD60" s="151"/>
      <c r="CE60" s="151"/>
      <c r="CF60" s="151"/>
      <c r="CG60" s="151"/>
      <c r="CH60" s="151"/>
      <c r="CI60" s="151"/>
      <c r="CJ60" s="151"/>
      <c r="CK60" s="151"/>
      <c r="CL60" s="151"/>
      <c r="CM60" s="151"/>
      <c r="CN60" s="151"/>
      <c r="CO60" s="151"/>
      <c r="CP60" s="151"/>
      <c r="CQ60" s="151"/>
      <c r="CR60" s="151"/>
      <c r="CS60" s="151"/>
      <c r="CT60" s="151"/>
      <c r="CU60" s="151"/>
      <c r="CV60" s="151"/>
      <c r="CW60" s="151"/>
      <c r="CX60" s="151"/>
      <c r="CY60" s="151"/>
      <c r="CZ60" s="151"/>
      <c r="DA60" s="151"/>
      <c r="DB60" s="151"/>
      <c r="DC60" s="151"/>
      <c r="DD60" s="151"/>
      <c r="DE60" s="151"/>
      <c r="DF60" s="151"/>
      <c r="DG60" s="151"/>
      <c r="DH60" s="151"/>
      <c r="DI60" s="151"/>
      <c r="DJ60" s="151"/>
      <c r="DK60" s="151"/>
      <c r="DL60" s="151"/>
      <c r="DM60" s="151"/>
      <c r="DN60" s="151"/>
      <c r="DO60" s="151"/>
      <c r="DP60" s="151"/>
      <c r="DQ60" s="151"/>
      <c r="DR60" s="151"/>
      <c r="DS60" s="151"/>
      <c r="DT60" s="151"/>
      <c r="DU60" s="151"/>
      <c r="DV60" s="151"/>
      <c r="DW60" s="151"/>
      <c r="DX60" s="151"/>
      <c r="DY60" s="151"/>
      <c r="DZ60" s="151"/>
      <c r="EA60" s="151"/>
      <c r="EB60" s="151"/>
      <c r="EC60" s="151"/>
      <c r="ED60" s="151"/>
      <c r="EE60" s="151"/>
      <c r="EF60" s="151"/>
      <c r="EG60" s="151"/>
      <c r="EH60" s="151"/>
      <c r="EI60" s="151"/>
      <c r="EJ60" s="151"/>
      <c r="EK60" s="151"/>
      <c r="EL60" s="151"/>
      <c r="EM60" s="151"/>
      <c r="EN60" s="151"/>
      <c r="EO60" s="151"/>
      <c r="EP60" s="151"/>
      <c r="EQ60" s="151"/>
      <c r="ER60" s="151"/>
      <c r="ES60" s="151"/>
      <c r="ET60" s="151"/>
      <c r="EU60" s="151"/>
      <c r="EV60" s="151"/>
      <c r="EW60" s="151"/>
      <c r="EX60" s="151"/>
      <c r="EY60" s="151"/>
      <c r="EZ60" s="151"/>
      <c r="FA60" s="151"/>
      <c r="FB60" s="151"/>
      <c r="FC60" s="151"/>
      <c r="FD60" s="151"/>
      <c r="FE60" s="151"/>
      <c r="FF60" s="151"/>
      <c r="FG60" s="151"/>
      <c r="FH60" s="151"/>
      <c r="FI60" s="151"/>
      <c r="FJ60" s="151"/>
      <c r="FK60" s="151"/>
      <c r="FL60" s="151"/>
      <c r="FM60" s="151"/>
      <c r="FN60" s="151"/>
      <c r="FO60" s="151"/>
      <c r="FP60" s="151"/>
      <c r="FQ60" s="151"/>
      <c r="FR60" s="151"/>
      <c r="FS60" s="151"/>
      <c r="FT60" s="151"/>
      <c r="FU60" s="151"/>
      <c r="FV60" s="151"/>
      <c r="FW60" s="151"/>
      <c r="FX60" s="151"/>
      <c r="FY60" s="151"/>
      <c r="FZ60" s="151"/>
      <c r="GA60" s="151"/>
      <c r="GB60" s="151"/>
      <c r="GC60" s="151"/>
      <c r="GD60" s="151"/>
      <c r="GE60" s="151"/>
      <c r="GF60" s="151"/>
      <c r="GG60" s="151"/>
      <c r="GH60" s="151"/>
      <c r="GI60" s="151"/>
      <c r="GJ60" s="151"/>
      <c r="GK60" s="151"/>
      <c r="GL60" s="151"/>
      <c r="GM60" s="151"/>
      <c r="GN60" s="151"/>
      <c r="GO60" s="151"/>
      <c r="GP60" s="151"/>
      <c r="GQ60" s="151"/>
      <c r="GR60" s="151"/>
      <c r="GS60" s="151"/>
      <c r="GT60" s="151"/>
      <c r="GU60" s="151"/>
      <c r="GV60" s="151"/>
      <c r="GW60" s="151"/>
      <c r="GX60" s="151"/>
      <c r="GY60" s="151"/>
      <c r="GZ60" s="151"/>
      <c r="HA60" s="151"/>
      <c r="HB60" s="151"/>
      <c r="HC60" s="151"/>
      <c r="HD60" s="151"/>
      <c r="HE60" s="151"/>
      <c r="HF60" s="151"/>
      <c r="HG60" s="151"/>
      <c r="HH60" s="151"/>
      <c r="HI60" s="151"/>
      <c r="HJ60" s="151"/>
      <c r="HK60" s="151"/>
      <c r="HL60" s="151"/>
      <c r="HM60" s="151"/>
      <c r="HN60" s="151"/>
      <c r="HO60" s="151"/>
      <c r="HP60" s="151"/>
      <c r="HQ60" s="151"/>
      <c r="HR60" s="151"/>
      <c r="HS60" s="151"/>
      <c r="HT60" s="151"/>
      <c r="HU60" s="151"/>
      <c r="HV60" s="151"/>
      <c r="HW60" s="151"/>
      <c r="HX60" s="151"/>
      <c r="HY60" s="151"/>
      <c r="HZ60" s="151"/>
      <c r="IA60" s="151"/>
      <c r="IB60" s="151"/>
      <c r="IC60" s="151"/>
      <c r="ID60" s="151"/>
      <c r="IE60" s="151"/>
      <c r="IF60" s="151"/>
      <c r="IG60" s="151"/>
      <c r="IH60" s="151"/>
      <c r="II60" s="151"/>
      <c r="IJ60" s="151"/>
      <c r="IK60" s="151"/>
      <c r="IL60" s="151"/>
      <c r="IM60" s="151"/>
      <c r="IN60" s="151"/>
      <c r="IO60" s="151"/>
      <c r="IP60" s="151"/>
      <c r="IQ60" s="151"/>
      <c r="IR60" s="151"/>
      <c r="IS60" s="151"/>
      <c r="IT60" s="151"/>
      <c r="IU60" s="151"/>
      <c r="IV60" s="151"/>
    </row>
    <row r="61" spans="1:256" ht="15.6" x14ac:dyDescent="0.25">
      <c r="A61" s="1232">
        <v>1152300000</v>
      </c>
      <c r="B61" s="197" t="s">
        <v>559</v>
      </c>
      <c r="C61" s="198"/>
      <c r="D61" s="1119">
        <f>D62+D63+D71</f>
        <v>923957</v>
      </c>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141"/>
      <c r="AI61" s="141"/>
      <c r="AJ61" s="141"/>
      <c r="AK61" s="141"/>
      <c r="AL61" s="141"/>
      <c r="AM61" s="141"/>
      <c r="AN61" s="141"/>
      <c r="AO61" s="141"/>
      <c r="AP61" s="141"/>
      <c r="AQ61" s="141"/>
      <c r="AR61" s="141"/>
      <c r="AS61" s="141"/>
      <c r="AT61" s="141"/>
      <c r="AU61" s="141"/>
      <c r="AV61" s="141"/>
      <c r="AW61" s="141"/>
      <c r="AX61" s="141"/>
      <c r="AY61" s="141"/>
      <c r="AZ61" s="141"/>
      <c r="BA61" s="141"/>
      <c r="BB61" s="141"/>
      <c r="BC61" s="141"/>
      <c r="BD61" s="141"/>
      <c r="BE61" s="141"/>
      <c r="BF61" s="141"/>
      <c r="BG61" s="141"/>
      <c r="BH61" s="141"/>
      <c r="BI61" s="141"/>
      <c r="BJ61" s="141"/>
      <c r="BK61" s="141"/>
      <c r="BL61" s="141"/>
      <c r="BM61" s="141"/>
      <c r="BN61" s="141"/>
      <c r="BO61" s="141"/>
      <c r="BP61" s="141"/>
      <c r="BQ61" s="141"/>
      <c r="BR61" s="141"/>
      <c r="BS61" s="141"/>
      <c r="BT61" s="141"/>
      <c r="BU61" s="141"/>
      <c r="BV61" s="141"/>
      <c r="BW61" s="141"/>
      <c r="BX61" s="141"/>
      <c r="BY61" s="141"/>
      <c r="BZ61" s="141"/>
      <c r="CA61" s="141"/>
      <c r="CB61" s="141"/>
      <c r="CC61" s="141"/>
      <c r="CD61" s="141"/>
      <c r="CE61" s="141"/>
      <c r="CF61" s="141"/>
      <c r="CG61" s="141"/>
      <c r="CH61" s="141"/>
      <c r="CI61" s="141"/>
      <c r="CJ61" s="141"/>
      <c r="CK61" s="141"/>
      <c r="CL61" s="141"/>
      <c r="CM61" s="141"/>
      <c r="CN61" s="141"/>
      <c r="CO61" s="141"/>
      <c r="CP61" s="141"/>
      <c r="CQ61" s="141"/>
      <c r="CR61" s="141"/>
      <c r="CS61" s="141"/>
      <c r="CT61" s="141"/>
      <c r="CU61" s="141"/>
      <c r="CV61" s="141"/>
      <c r="CW61" s="141"/>
      <c r="CX61" s="141"/>
      <c r="CY61" s="141"/>
      <c r="CZ61" s="141"/>
      <c r="DA61" s="141"/>
      <c r="DB61" s="141"/>
      <c r="DC61" s="141"/>
      <c r="DD61" s="141"/>
      <c r="DE61" s="141"/>
      <c r="DF61" s="141"/>
      <c r="DG61" s="141"/>
      <c r="DH61" s="141"/>
      <c r="DI61" s="141"/>
      <c r="DJ61" s="141"/>
      <c r="DK61" s="141"/>
      <c r="DL61" s="141"/>
      <c r="DM61" s="141"/>
      <c r="DN61" s="141"/>
      <c r="DO61" s="141"/>
      <c r="DP61" s="141"/>
      <c r="DQ61" s="141"/>
      <c r="DR61" s="141"/>
      <c r="DS61" s="141"/>
      <c r="DT61" s="141"/>
      <c r="DU61" s="141"/>
      <c r="DV61" s="141"/>
      <c r="DW61" s="141"/>
      <c r="DX61" s="141"/>
      <c r="DY61" s="141"/>
      <c r="DZ61" s="141"/>
      <c r="EA61" s="141"/>
      <c r="EB61" s="141"/>
      <c r="EC61" s="141"/>
      <c r="ED61" s="141"/>
      <c r="EE61" s="141"/>
      <c r="EF61" s="141"/>
      <c r="EG61" s="141"/>
      <c r="EH61" s="141"/>
      <c r="EI61" s="141"/>
      <c r="EJ61" s="141"/>
      <c r="EK61" s="141"/>
      <c r="EL61" s="141"/>
      <c r="EM61" s="141"/>
      <c r="EN61" s="141"/>
      <c r="EO61" s="141"/>
      <c r="EP61" s="141"/>
      <c r="EQ61" s="141"/>
      <c r="ER61" s="141"/>
      <c r="ES61" s="141"/>
      <c r="ET61" s="141"/>
      <c r="EU61" s="141"/>
      <c r="EV61" s="141"/>
      <c r="EW61" s="141"/>
      <c r="EX61" s="141"/>
      <c r="EY61" s="141"/>
      <c r="EZ61" s="141"/>
      <c r="FA61" s="141"/>
      <c r="FB61" s="141"/>
      <c r="FC61" s="141"/>
      <c r="FD61" s="141"/>
      <c r="FE61" s="141"/>
      <c r="FF61" s="141"/>
      <c r="FG61" s="141"/>
      <c r="FH61" s="141"/>
      <c r="FI61" s="141"/>
      <c r="FJ61" s="141"/>
      <c r="FK61" s="141"/>
      <c r="FL61" s="141"/>
      <c r="FM61" s="141"/>
      <c r="FN61" s="141"/>
      <c r="FO61" s="141"/>
      <c r="FP61" s="141"/>
      <c r="FQ61" s="141"/>
      <c r="FR61" s="141"/>
      <c r="FS61" s="141"/>
      <c r="FT61" s="141"/>
      <c r="FU61" s="141"/>
      <c r="FV61" s="141"/>
      <c r="FW61" s="141"/>
      <c r="FX61" s="141"/>
      <c r="FY61" s="141"/>
      <c r="FZ61" s="141"/>
      <c r="GA61" s="141"/>
      <c r="GB61" s="141"/>
      <c r="GC61" s="141"/>
      <c r="GD61" s="141"/>
      <c r="GE61" s="141"/>
      <c r="GF61" s="141"/>
      <c r="GG61" s="141"/>
      <c r="GH61" s="141"/>
      <c r="GI61" s="141"/>
      <c r="GJ61" s="141"/>
      <c r="GK61" s="141"/>
      <c r="GL61" s="141"/>
      <c r="GM61" s="141"/>
      <c r="GN61" s="141"/>
      <c r="GO61" s="141"/>
      <c r="GP61" s="141"/>
      <c r="GQ61" s="141"/>
      <c r="GR61" s="141"/>
      <c r="GS61" s="141"/>
      <c r="GT61" s="141"/>
      <c r="GU61" s="141"/>
      <c r="GV61" s="141"/>
      <c r="GW61" s="141"/>
      <c r="GX61" s="141"/>
      <c r="GY61" s="141"/>
      <c r="GZ61" s="141"/>
      <c r="HA61" s="141"/>
      <c r="HB61" s="141"/>
      <c r="HC61" s="141"/>
      <c r="HD61" s="141"/>
      <c r="HE61" s="141"/>
      <c r="HF61" s="141"/>
      <c r="HG61" s="141"/>
      <c r="HH61" s="141"/>
      <c r="HI61" s="141"/>
      <c r="HJ61" s="141"/>
      <c r="HK61" s="141"/>
      <c r="HL61" s="141"/>
      <c r="HM61" s="141"/>
      <c r="HN61" s="141"/>
      <c r="HO61" s="141"/>
      <c r="HP61" s="141"/>
      <c r="HQ61" s="141"/>
      <c r="HR61" s="141"/>
      <c r="HS61" s="141"/>
      <c r="HT61" s="141"/>
      <c r="HU61" s="141"/>
      <c r="HV61" s="141"/>
      <c r="HW61" s="141"/>
      <c r="HX61" s="141"/>
      <c r="HY61" s="141"/>
      <c r="HZ61" s="141"/>
      <c r="IA61" s="141"/>
      <c r="IB61" s="141"/>
      <c r="IC61" s="141"/>
      <c r="ID61" s="141"/>
      <c r="IE61" s="141"/>
      <c r="IF61" s="141"/>
      <c r="IG61" s="141"/>
      <c r="IH61" s="141"/>
      <c r="II61" s="141"/>
      <c r="IJ61" s="141"/>
      <c r="IK61" s="141"/>
      <c r="IL61" s="141"/>
      <c r="IM61" s="141"/>
      <c r="IN61" s="141"/>
      <c r="IO61" s="141"/>
      <c r="IP61" s="141"/>
      <c r="IQ61" s="141"/>
      <c r="IR61" s="141"/>
      <c r="IS61" s="141"/>
      <c r="IT61" s="141"/>
      <c r="IU61" s="141"/>
      <c r="IV61" s="141"/>
    </row>
    <row r="62" spans="1:256" ht="16.2" x14ac:dyDescent="0.25">
      <c r="A62" s="1093" t="s">
        <v>573</v>
      </c>
      <c r="B62" s="1386" t="s">
        <v>598</v>
      </c>
      <c r="C62" s="1387"/>
      <c r="D62" s="1168">
        <v>33057</v>
      </c>
      <c r="E62" s="145"/>
      <c r="F62" s="145"/>
      <c r="G62" s="145"/>
      <c r="H62" s="145"/>
      <c r="I62" s="145"/>
      <c r="J62" s="145"/>
      <c r="K62" s="145"/>
      <c r="L62" s="145"/>
      <c r="M62" s="145"/>
      <c r="N62" s="145"/>
      <c r="O62" s="145"/>
      <c r="P62" s="145"/>
      <c r="Q62" s="145"/>
      <c r="R62" s="145"/>
      <c r="S62" s="145"/>
      <c r="T62" s="145"/>
      <c r="U62" s="145"/>
      <c r="V62" s="145"/>
      <c r="W62" s="145"/>
      <c r="X62" s="145"/>
      <c r="Y62" s="145"/>
      <c r="Z62" s="145"/>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c r="CN62" s="145"/>
      <c r="CO62" s="145"/>
      <c r="CP62" s="145"/>
      <c r="CQ62" s="145"/>
      <c r="CR62" s="145"/>
      <c r="CS62" s="145"/>
      <c r="CT62" s="145"/>
      <c r="CU62" s="145"/>
      <c r="CV62" s="145"/>
      <c r="CW62" s="145"/>
      <c r="CX62" s="145"/>
      <c r="CY62" s="145"/>
      <c r="CZ62" s="145"/>
      <c r="DA62" s="145"/>
      <c r="DB62" s="145"/>
      <c r="DC62" s="145"/>
      <c r="DD62" s="145"/>
      <c r="DE62" s="145"/>
      <c r="DF62" s="145"/>
      <c r="DG62" s="145"/>
      <c r="DH62" s="145"/>
      <c r="DI62" s="145"/>
      <c r="DJ62" s="145"/>
      <c r="DK62" s="145"/>
      <c r="DL62" s="145"/>
      <c r="DM62" s="145"/>
      <c r="DN62" s="145"/>
      <c r="DO62" s="145"/>
      <c r="DP62" s="145"/>
      <c r="DQ62" s="145"/>
      <c r="DR62" s="145"/>
      <c r="DS62" s="145"/>
      <c r="DT62" s="145"/>
      <c r="DU62" s="145"/>
      <c r="DV62" s="145"/>
      <c r="DW62" s="145"/>
      <c r="DX62" s="145"/>
      <c r="DY62" s="145"/>
      <c r="DZ62" s="145"/>
      <c r="EA62" s="145"/>
      <c r="EB62" s="145"/>
      <c r="EC62" s="145"/>
      <c r="ED62" s="145"/>
      <c r="EE62" s="145"/>
      <c r="EF62" s="145"/>
      <c r="EG62" s="145"/>
      <c r="EH62" s="145"/>
      <c r="EI62" s="145"/>
      <c r="EJ62" s="145"/>
      <c r="EK62" s="145"/>
      <c r="EL62" s="145"/>
      <c r="EM62" s="145"/>
      <c r="EN62" s="145"/>
      <c r="EO62" s="145"/>
      <c r="EP62" s="145"/>
      <c r="EQ62" s="145"/>
      <c r="ER62" s="145"/>
      <c r="ES62" s="145"/>
      <c r="ET62" s="145"/>
      <c r="EU62" s="145"/>
      <c r="EV62" s="145"/>
      <c r="EW62" s="145"/>
      <c r="EX62" s="145"/>
      <c r="EY62" s="145"/>
      <c r="EZ62" s="145"/>
      <c r="FA62" s="145"/>
      <c r="FB62" s="145"/>
      <c r="FC62" s="145"/>
      <c r="FD62" s="145"/>
      <c r="FE62" s="145"/>
      <c r="FF62" s="145"/>
      <c r="FG62" s="145"/>
      <c r="FH62" s="145"/>
      <c r="FI62" s="145"/>
      <c r="FJ62" s="145"/>
      <c r="FK62" s="145"/>
      <c r="FL62" s="145"/>
      <c r="FM62" s="145"/>
      <c r="FN62" s="145"/>
      <c r="FO62" s="145"/>
      <c r="FP62" s="145"/>
      <c r="FQ62" s="145"/>
      <c r="FR62" s="145"/>
      <c r="FS62" s="145"/>
      <c r="FT62" s="145"/>
      <c r="FU62" s="145"/>
      <c r="FV62" s="145"/>
      <c r="FW62" s="145"/>
      <c r="FX62" s="145"/>
      <c r="FY62" s="145"/>
      <c r="FZ62" s="145"/>
      <c r="GA62" s="145"/>
      <c r="GB62" s="145"/>
      <c r="GC62" s="145"/>
      <c r="GD62" s="145"/>
      <c r="GE62" s="145"/>
      <c r="GF62" s="145"/>
      <c r="GG62" s="145"/>
      <c r="GH62" s="145"/>
      <c r="GI62" s="145"/>
      <c r="GJ62" s="145"/>
      <c r="GK62" s="145"/>
      <c r="GL62" s="145"/>
      <c r="GM62" s="145"/>
      <c r="GN62" s="145"/>
      <c r="GO62" s="145"/>
      <c r="GP62" s="145"/>
      <c r="GQ62" s="145"/>
      <c r="GR62" s="145"/>
      <c r="GS62" s="145"/>
      <c r="GT62" s="145"/>
      <c r="GU62" s="145"/>
      <c r="GV62" s="145"/>
      <c r="GW62" s="145"/>
      <c r="GX62" s="145"/>
      <c r="GY62" s="145"/>
      <c r="GZ62" s="145"/>
      <c r="HA62" s="145"/>
      <c r="HB62" s="145"/>
      <c r="HC62" s="145"/>
      <c r="HD62" s="145"/>
      <c r="HE62" s="145"/>
      <c r="HF62" s="145"/>
      <c r="HG62" s="145"/>
      <c r="HH62" s="145"/>
      <c r="HI62" s="145"/>
      <c r="HJ62" s="145"/>
      <c r="HK62" s="145"/>
      <c r="HL62" s="145"/>
      <c r="HM62" s="145"/>
      <c r="HN62" s="145"/>
      <c r="HO62" s="145"/>
      <c r="HP62" s="145"/>
      <c r="HQ62" s="145"/>
      <c r="HR62" s="145"/>
      <c r="HS62" s="145"/>
      <c r="HT62" s="145"/>
      <c r="HU62" s="145"/>
      <c r="HV62" s="145"/>
      <c r="HW62" s="145"/>
      <c r="HX62" s="145"/>
      <c r="HY62" s="145"/>
      <c r="HZ62" s="145"/>
      <c r="IA62" s="145"/>
      <c r="IB62" s="145"/>
      <c r="IC62" s="145"/>
      <c r="ID62" s="145"/>
      <c r="IE62" s="145"/>
      <c r="IF62" s="145"/>
      <c r="IG62" s="145"/>
      <c r="IH62" s="145"/>
      <c r="II62" s="145"/>
      <c r="IJ62" s="145"/>
      <c r="IK62" s="145"/>
      <c r="IL62" s="145"/>
      <c r="IM62" s="145"/>
      <c r="IN62" s="145"/>
      <c r="IO62" s="145"/>
      <c r="IP62" s="145"/>
      <c r="IQ62" s="145"/>
      <c r="IR62" s="145"/>
      <c r="IS62" s="145"/>
      <c r="IT62" s="145"/>
      <c r="IU62" s="145"/>
      <c r="IV62" s="145"/>
    </row>
    <row r="63" spans="1:256" ht="16.2" x14ac:dyDescent="0.25">
      <c r="A63" s="1093" t="s">
        <v>573</v>
      </c>
      <c r="B63" s="1382" t="s">
        <v>572</v>
      </c>
      <c r="C63" s="1383"/>
      <c r="D63" s="1168">
        <f>D64+D65+D66+D67+D68+D69+D70</f>
        <v>690900</v>
      </c>
      <c r="E63" s="145"/>
      <c r="F63" s="145"/>
      <c r="G63" s="145"/>
      <c r="H63" s="145"/>
      <c r="I63" s="145"/>
      <c r="J63" s="145"/>
      <c r="K63" s="145"/>
      <c r="L63" s="145"/>
      <c r="M63" s="145"/>
      <c r="N63" s="145"/>
      <c r="O63" s="145"/>
      <c r="P63" s="145"/>
      <c r="Q63" s="145"/>
      <c r="R63" s="145"/>
      <c r="S63" s="145"/>
      <c r="T63" s="145"/>
      <c r="U63" s="145"/>
      <c r="V63" s="145"/>
      <c r="W63" s="145"/>
      <c r="X63" s="145"/>
      <c r="Y63" s="145"/>
      <c r="Z63" s="145"/>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c r="CN63" s="145"/>
      <c r="CO63" s="145"/>
      <c r="CP63" s="145"/>
      <c r="CQ63" s="145"/>
      <c r="CR63" s="145"/>
      <c r="CS63" s="145"/>
      <c r="CT63" s="145"/>
      <c r="CU63" s="145"/>
      <c r="CV63" s="145"/>
      <c r="CW63" s="145"/>
      <c r="CX63" s="145"/>
      <c r="CY63" s="145"/>
      <c r="CZ63" s="145"/>
      <c r="DA63" s="145"/>
      <c r="DB63" s="145"/>
      <c r="DC63" s="145"/>
      <c r="DD63" s="145"/>
      <c r="DE63" s="145"/>
      <c r="DF63" s="145"/>
      <c r="DG63" s="145"/>
      <c r="DH63" s="145"/>
      <c r="DI63" s="145"/>
      <c r="DJ63" s="145"/>
      <c r="DK63" s="145"/>
      <c r="DL63" s="145"/>
      <c r="DM63" s="145"/>
      <c r="DN63" s="145"/>
      <c r="DO63" s="145"/>
      <c r="DP63" s="145"/>
      <c r="DQ63" s="145"/>
      <c r="DR63" s="145"/>
      <c r="DS63" s="145"/>
      <c r="DT63" s="145"/>
      <c r="DU63" s="145"/>
      <c r="DV63" s="145"/>
      <c r="DW63" s="145"/>
      <c r="DX63" s="145"/>
      <c r="DY63" s="145"/>
      <c r="DZ63" s="145"/>
      <c r="EA63" s="145"/>
      <c r="EB63" s="145"/>
      <c r="EC63" s="145"/>
      <c r="ED63" s="145"/>
      <c r="EE63" s="145"/>
      <c r="EF63" s="145"/>
      <c r="EG63" s="145"/>
      <c r="EH63" s="145"/>
      <c r="EI63" s="145"/>
      <c r="EJ63" s="145"/>
      <c r="EK63" s="145"/>
      <c r="EL63" s="145"/>
      <c r="EM63" s="145"/>
      <c r="EN63" s="145"/>
      <c r="EO63" s="145"/>
      <c r="EP63" s="145"/>
      <c r="EQ63" s="145"/>
      <c r="ER63" s="145"/>
      <c r="ES63" s="145"/>
      <c r="ET63" s="145"/>
      <c r="EU63" s="145"/>
      <c r="EV63" s="145"/>
      <c r="EW63" s="145"/>
      <c r="EX63" s="145"/>
      <c r="EY63" s="145"/>
      <c r="EZ63" s="145"/>
      <c r="FA63" s="145"/>
      <c r="FB63" s="145"/>
      <c r="FC63" s="145"/>
      <c r="FD63" s="145"/>
      <c r="FE63" s="145"/>
      <c r="FF63" s="145"/>
      <c r="FG63" s="145"/>
      <c r="FH63" s="145"/>
      <c r="FI63" s="145"/>
      <c r="FJ63" s="145"/>
      <c r="FK63" s="145"/>
      <c r="FL63" s="145"/>
      <c r="FM63" s="145"/>
      <c r="FN63" s="145"/>
      <c r="FO63" s="145"/>
      <c r="FP63" s="145"/>
      <c r="FQ63" s="145"/>
      <c r="FR63" s="145"/>
      <c r="FS63" s="145"/>
      <c r="FT63" s="145"/>
      <c r="FU63" s="145"/>
      <c r="FV63" s="145"/>
      <c r="FW63" s="145"/>
      <c r="FX63" s="145"/>
      <c r="FY63" s="145"/>
      <c r="FZ63" s="145"/>
      <c r="GA63" s="145"/>
      <c r="GB63" s="145"/>
      <c r="GC63" s="145"/>
      <c r="GD63" s="145"/>
      <c r="GE63" s="145"/>
      <c r="GF63" s="145"/>
      <c r="GG63" s="145"/>
      <c r="GH63" s="145"/>
      <c r="GI63" s="145"/>
      <c r="GJ63" s="145"/>
      <c r="GK63" s="145"/>
      <c r="GL63" s="145"/>
      <c r="GM63" s="145"/>
      <c r="GN63" s="145"/>
      <c r="GO63" s="145"/>
      <c r="GP63" s="145"/>
      <c r="GQ63" s="145"/>
      <c r="GR63" s="145"/>
      <c r="GS63" s="145"/>
      <c r="GT63" s="145"/>
      <c r="GU63" s="145"/>
      <c r="GV63" s="145"/>
      <c r="GW63" s="145"/>
      <c r="GX63" s="145"/>
      <c r="GY63" s="145"/>
      <c r="GZ63" s="145"/>
      <c r="HA63" s="145"/>
      <c r="HB63" s="145"/>
      <c r="HC63" s="145"/>
      <c r="HD63" s="145"/>
      <c r="HE63" s="145"/>
      <c r="HF63" s="145"/>
      <c r="HG63" s="145"/>
      <c r="HH63" s="145"/>
      <c r="HI63" s="145"/>
      <c r="HJ63" s="145"/>
      <c r="HK63" s="145"/>
      <c r="HL63" s="145"/>
      <c r="HM63" s="145"/>
      <c r="HN63" s="145"/>
      <c r="HO63" s="145"/>
      <c r="HP63" s="145"/>
      <c r="HQ63" s="145"/>
      <c r="HR63" s="145"/>
      <c r="HS63" s="145"/>
      <c r="HT63" s="145"/>
      <c r="HU63" s="145"/>
      <c r="HV63" s="145"/>
      <c r="HW63" s="145"/>
      <c r="HX63" s="145"/>
      <c r="HY63" s="145"/>
      <c r="HZ63" s="145"/>
      <c r="IA63" s="145"/>
      <c r="IB63" s="145"/>
      <c r="IC63" s="145"/>
      <c r="ID63" s="145"/>
      <c r="IE63" s="145"/>
      <c r="IF63" s="145"/>
      <c r="IG63" s="145"/>
      <c r="IH63" s="145"/>
      <c r="II63" s="145"/>
      <c r="IJ63" s="145"/>
      <c r="IK63" s="145"/>
      <c r="IL63" s="145"/>
      <c r="IM63" s="145"/>
      <c r="IN63" s="145"/>
      <c r="IO63" s="145"/>
      <c r="IP63" s="145"/>
      <c r="IQ63" s="145"/>
      <c r="IR63" s="145"/>
      <c r="IS63" s="145"/>
      <c r="IT63" s="145"/>
      <c r="IU63" s="145"/>
      <c r="IV63" s="145"/>
    </row>
    <row r="64" spans="1:256" ht="15.6" x14ac:dyDescent="0.25">
      <c r="A64" s="1094"/>
      <c r="B64" s="1379" t="s">
        <v>605</v>
      </c>
      <c r="C64" s="1380"/>
      <c r="D64" s="1167">
        <v>631530</v>
      </c>
    </row>
    <row r="65" spans="1:256" ht="15.6" x14ac:dyDescent="0.25">
      <c r="A65" s="1094"/>
      <c r="B65" s="1379" t="s">
        <v>603</v>
      </c>
      <c r="C65" s="1380"/>
      <c r="D65" s="1167">
        <v>10150</v>
      </c>
    </row>
    <row r="66" spans="1:256" ht="15.6" x14ac:dyDescent="0.25">
      <c r="A66" s="1094"/>
      <c r="B66" s="1379" t="s">
        <v>577</v>
      </c>
      <c r="C66" s="1380"/>
      <c r="D66" s="1167">
        <f>13100+20000</f>
        <v>33100</v>
      </c>
    </row>
    <row r="67" spans="1:256" ht="15.6" hidden="1" x14ac:dyDescent="0.25">
      <c r="A67" s="1094"/>
      <c r="B67" s="1379" t="s">
        <v>574</v>
      </c>
      <c r="C67" s="1380"/>
      <c r="D67" s="1167"/>
    </row>
    <row r="68" spans="1:256" ht="15.6" x14ac:dyDescent="0.25">
      <c r="A68" s="1094"/>
      <c r="B68" s="1379" t="s">
        <v>606</v>
      </c>
      <c r="C68" s="1380"/>
      <c r="D68" s="1167">
        <v>10000</v>
      </c>
    </row>
    <row r="69" spans="1:256" ht="15.6" x14ac:dyDescent="0.25">
      <c r="A69" s="1094"/>
      <c r="B69" s="1379" t="s">
        <v>575</v>
      </c>
      <c r="C69" s="1380"/>
      <c r="D69" s="1167">
        <v>6120</v>
      </c>
    </row>
    <row r="70" spans="1:256" ht="15.6" hidden="1" x14ac:dyDescent="0.25">
      <c r="A70" s="1094"/>
      <c r="B70" s="1379" t="s">
        <v>607</v>
      </c>
      <c r="C70" s="1380"/>
      <c r="D70" s="1167"/>
    </row>
    <row r="71" spans="1:256" ht="16.2" x14ac:dyDescent="0.25">
      <c r="A71" s="1093" t="s">
        <v>573</v>
      </c>
      <c r="B71" s="1377" t="s">
        <v>576</v>
      </c>
      <c r="C71" s="1378"/>
      <c r="D71" s="1168">
        <f>D72+D73+D74</f>
        <v>200000</v>
      </c>
      <c r="E71" s="145"/>
      <c r="F71" s="145"/>
      <c r="G71" s="145"/>
      <c r="H71" s="145"/>
      <c r="I71" s="145"/>
      <c r="J71" s="145"/>
      <c r="K71" s="145"/>
      <c r="L71" s="145"/>
      <c r="M71" s="145"/>
      <c r="N71" s="145"/>
      <c r="O71" s="145"/>
      <c r="P71" s="145"/>
      <c r="Q71" s="145"/>
      <c r="R71" s="145"/>
      <c r="S71" s="145"/>
      <c r="T71" s="145"/>
      <c r="U71" s="145"/>
      <c r="V71" s="145"/>
      <c r="W71" s="145"/>
      <c r="X71" s="145"/>
      <c r="Y71" s="145"/>
      <c r="Z71" s="145"/>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c r="CN71" s="145"/>
      <c r="CO71" s="145"/>
      <c r="CP71" s="145"/>
      <c r="CQ71" s="145"/>
      <c r="CR71" s="145"/>
      <c r="CS71" s="145"/>
      <c r="CT71" s="145"/>
      <c r="CU71" s="145"/>
      <c r="CV71" s="145"/>
      <c r="CW71" s="145"/>
      <c r="CX71" s="145"/>
      <c r="CY71" s="145"/>
      <c r="CZ71" s="145"/>
      <c r="DA71" s="145"/>
      <c r="DB71" s="145"/>
      <c r="DC71" s="145"/>
      <c r="DD71" s="145"/>
      <c r="DE71" s="145"/>
      <c r="DF71" s="145"/>
      <c r="DG71" s="145"/>
      <c r="DH71" s="145"/>
      <c r="DI71" s="145"/>
      <c r="DJ71" s="145"/>
      <c r="DK71" s="145"/>
      <c r="DL71" s="145"/>
      <c r="DM71" s="145"/>
      <c r="DN71" s="145"/>
      <c r="DO71" s="145"/>
      <c r="DP71" s="145"/>
      <c r="DQ71" s="145"/>
      <c r="DR71" s="145"/>
      <c r="DS71" s="145"/>
      <c r="DT71" s="145"/>
      <c r="DU71" s="145"/>
      <c r="DV71" s="145"/>
      <c r="DW71" s="145"/>
      <c r="DX71" s="145"/>
      <c r="DY71" s="145"/>
      <c r="DZ71" s="145"/>
      <c r="EA71" s="145"/>
      <c r="EB71" s="145"/>
      <c r="EC71" s="145"/>
      <c r="ED71" s="145"/>
      <c r="EE71" s="145"/>
      <c r="EF71" s="145"/>
      <c r="EG71" s="145"/>
      <c r="EH71" s="145"/>
      <c r="EI71" s="145"/>
      <c r="EJ71" s="145"/>
      <c r="EK71" s="145"/>
      <c r="EL71" s="145"/>
      <c r="EM71" s="145"/>
      <c r="EN71" s="145"/>
      <c r="EO71" s="145"/>
      <c r="EP71" s="145"/>
      <c r="EQ71" s="145"/>
      <c r="ER71" s="145"/>
      <c r="ES71" s="145"/>
      <c r="ET71" s="145"/>
      <c r="EU71" s="145"/>
      <c r="EV71" s="145"/>
      <c r="EW71" s="145"/>
      <c r="EX71" s="145"/>
      <c r="EY71" s="145"/>
      <c r="EZ71" s="145"/>
      <c r="FA71" s="145"/>
      <c r="FB71" s="145"/>
      <c r="FC71" s="145"/>
      <c r="FD71" s="145"/>
      <c r="FE71" s="145"/>
      <c r="FF71" s="145"/>
      <c r="FG71" s="145"/>
      <c r="FH71" s="145"/>
      <c r="FI71" s="145"/>
      <c r="FJ71" s="145"/>
      <c r="FK71" s="145"/>
      <c r="FL71" s="145"/>
      <c r="FM71" s="145"/>
      <c r="FN71" s="145"/>
      <c r="FO71" s="145"/>
      <c r="FP71" s="145"/>
      <c r="FQ71" s="145"/>
      <c r="FR71" s="145"/>
      <c r="FS71" s="145"/>
      <c r="FT71" s="145"/>
      <c r="FU71" s="145"/>
      <c r="FV71" s="145"/>
      <c r="FW71" s="145"/>
      <c r="FX71" s="145"/>
      <c r="FY71" s="145"/>
      <c r="FZ71" s="145"/>
      <c r="GA71" s="145"/>
      <c r="GB71" s="145"/>
      <c r="GC71" s="145"/>
      <c r="GD71" s="145"/>
      <c r="GE71" s="145"/>
      <c r="GF71" s="145"/>
      <c r="GG71" s="145"/>
      <c r="GH71" s="145"/>
      <c r="GI71" s="145"/>
      <c r="GJ71" s="145"/>
      <c r="GK71" s="145"/>
      <c r="GL71" s="145"/>
      <c r="GM71" s="145"/>
      <c r="GN71" s="145"/>
      <c r="GO71" s="145"/>
      <c r="GP71" s="145"/>
      <c r="GQ71" s="145"/>
      <c r="GR71" s="145"/>
      <c r="GS71" s="145"/>
      <c r="GT71" s="145"/>
      <c r="GU71" s="145"/>
      <c r="GV71" s="145"/>
      <c r="GW71" s="145"/>
      <c r="GX71" s="145"/>
      <c r="GY71" s="145"/>
      <c r="GZ71" s="145"/>
      <c r="HA71" s="145"/>
      <c r="HB71" s="145"/>
      <c r="HC71" s="145"/>
      <c r="HD71" s="145"/>
      <c r="HE71" s="145"/>
      <c r="HF71" s="145"/>
      <c r="HG71" s="145"/>
      <c r="HH71" s="145"/>
      <c r="HI71" s="145"/>
      <c r="HJ71" s="145"/>
      <c r="HK71" s="145"/>
      <c r="HL71" s="145"/>
      <c r="HM71" s="145"/>
      <c r="HN71" s="145"/>
      <c r="HO71" s="145"/>
      <c r="HP71" s="145"/>
      <c r="HQ71" s="145"/>
      <c r="HR71" s="145"/>
      <c r="HS71" s="145"/>
      <c r="HT71" s="145"/>
      <c r="HU71" s="145"/>
      <c r="HV71" s="145"/>
      <c r="HW71" s="145"/>
      <c r="HX71" s="145"/>
      <c r="HY71" s="145"/>
      <c r="HZ71" s="145"/>
      <c r="IA71" s="145"/>
      <c r="IB71" s="145"/>
      <c r="IC71" s="145"/>
      <c r="ID71" s="145"/>
      <c r="IE71" s="145"/>
      <c r="IF71" s="145"/>
      <c r="IG71" s="145"/>
      <c r="IH71" s="145"/>
      <c r="II71" s="145"/>
      <c r="IJ71" s="145"/>
      <c r="IK71" s="145"/>
      <c r="IL71" s="145"/>
      <c r="IM71" s="145"/>
      <c r="IN71" s="145"/>
      <c r="IO71" s="145"/>
      <c r="IP71" s="145"/>
      <c r="IQ71" s="145"/>
      <c r="IR71" s="145"/>
      <c r="IS71" s="145"/>
      <c r="IT71" s="145"/>
      <c r="IU71" s="145"/>
      <c r="IV71" s="145"/>
    </row>
    <row r="72" spans="1:256" ht="15.6" x14ac:dyDescent="0.25">
      <c r="A72" s="1094"/>
      <c r="B72" s="1379" t="s">
        <v>603</v>
      </c>
      <c r="C72" s="1380"/>
      <c r="D72" s="1167">
        <v>50000</v>
      </c>
    </row>
    <row r="73" spans="1:256" ht="15.6" x14ac:dyDescent="0.25">
      <c r="A73" s="1094"/>
      <c r="B73" s="1379" t="s">
        <v>577</v>
      </c>
      <c r="C73" s="1380"/>
      <c r="D73" s="1167">
        <v>100000</v>
      </c>
    </row>
    <row r="74" spans="1:256" ht="15.6" x14ac:dyDescent="0.25">
      <c r="A74" s="1094"/>
      <c r="B74" s="1379" t="s">
        <v>574</v>
      </c>
      <c r="C74" s="1380"/>
      <c r="D74" s="1167">
        <v>50000</v>
      </c>
    </row>
    <row r="75" spans="1:256" ht="15.6" x14ac:dyDescent="0.25">
      <c r="A75" s="1095">
        <v>1154900000</v>
      </c>
      <c r="B75" s="205" t="s">
        <v>560</v>
      </c>
      <c r="C75" s="206"/>
      <c r="D75" s="1169">
        <f>D76+D86+D87+D88</f>
        <v>2473140</v>
      </c>
      <c r="E75" s="142"/>
      <c r="F75" s="142"/>
      <c r="G75" s="142"/>
      <c r="H75" s="142"/>
      <c r="I75" s="142"/>
      <c r="J75" s="142"/>
      <c r="K75" s="142"/>
      <c r="L75" s="142"/>
      <c r="M75" s="142"/>
      <c r="N75" s="142"/>
      <c r="O75" s="142"/>
      <c r="P75" s="142"/>
      <c r="Q75" s="142"/>
      <c r="R75" s="142"/>
      <c r="S75" s="142"/>
      <c r="T75" s="142"/>
      <c r="U75" s="142"/>
      <c r="V75" s="142"/>
      <c r="W75" s="142"/>
      <c r="X75" s="142"/>
      <c r="Y75" s="142"/>
      <c r="Z75" s="14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c r="CN75" s="142"/>
      <c r="CO75" s="142"/>
      <c r="CP75" s="142"/>
      <c r="CQ75" s="142"/>
      <c r="CR75" s="142"/>
      <c r="CS75" s="142"/>
      <c r="CT75" s="142"/>
      <c r="CU75" s="142"/>
      <c r="CV75" s="142"/>
      <c r="CW75" s="142"/>
      <c r="CX75" s="142"/>
      <c r="CY75" s="142"/>
      <c r="CZ75" s="142"/>
      <c r="DA75" s="142"/>
      <c r="DB75" s="142"/>
      <c r="DC75" s="142"/>
      <c r="DD75" s="142"/>
      <c r="DE75" s="142"/>
      <c r="DF75" s="142"/>
      <c r="DG75" s="142"/>
      <c r="DH75" s="142"/>
      <c r="DI75" s="142"/>
      <c r="DJ75" s="142"/>
      <c r="DK75" s="142"/>
      <c r="DL75" s="142"/>
      <c r="DM75" s="142"/>
      <c r="DN75" s="142"/>
      <c r="DO75" s="142"/>
      <c r="DP75" s="142"/>
      <c r="DQ75" s="142"/>
      <c r="DR75" s="142"/>
      <c r="DS75" s="142"/>
      <c r="DT75" s="142"/>
      <c r="DU75" s="142"/>
      <c r="DV75" s="142"/>
      <c r="DW75" s="142"/>
      <c r="DX75" s="142"/>
      <c r="DY75" s="142"/>
      <c r="DZ75" s="142"/>
      <c r="EA75" s="142"/>
      <c r="EB75" s="142"/>
      <c r="EC75" s="142"/>
      <c r="ED75" s="142"/>
      <c r="EE75" s="142"/>
      <c r="EF75" s="142"/>
      <c r="EG75" s="142"/>
      <c r="EH75" s="142"/>
      <c r="EI75" s="142"/>
      <c r="EJ75" s="142"/>
      <c r="EK75" s="142"/>
      <c r="EL75" s="142"/>
      <c r="EM75" s="142"/>
      <c r="EN75" s="142"/>
      <c r="EO75" s="142"/>
      <c r="EP75" s="142"/>
      <c r="EQ75" s="142"/>
      <c r="ER75" s="142"/>
      <c r="ES75" s="142"/>
      <c r="ET75" s="142"/>
      <c r="EU75" s="142"/>
      <c r="EV75" s="142"/>
      <c r="EW75" s="142"/>
      <c r="EX75" s="142"/>
      <c r="EY75" s="142"/>
      <c r="EZ75" s="142"/>
      <c r="FA75" s="142"/>
      <c r="FB75" s="142"/>
      <c r="FC75" s="142"/>
      <c r="FD75" s="142"/>
      <c r="FE75" s="142"/>
      <c r="FF75" s="142"/>
      <c r="FG75" s="142"/>
      <c r="FH75" s="142"/>
      <c r="FI75" s="142"/>
      <c r="FJ75" s="142"/>
      <c r="FK75" s="142"/>
      <c r="FL75" s="142"/>
      <c r="FM75" s="142"/>
      <c r="FN75" s="142"/>
      <c r="FO75" s="142"/>
      <c r="FP75" s="142"/>
      <c r="FQ75" s="142"/>
      <c r="FR75" s="142"/>
      <c r="FS75" s="142"/>
      <c r="FT75" s="142"/>
      <c r="FU75" s="142"/>
      <c r="FV75" s="142"/>
      <c r="FW75" s="142"/>
      <c r="FX75" s="142"/>
      <c r="FY75" s="142"/>
      <c r="FZ75" s="142"/>
      <c r="GA75" s="142"/>
      <c r="GB75" s="142"/>
      <c r="GC75" s="142"/>
      <c r="GD75" s="142"/>
      <c r="GE75" s="142"/>
      <c r="GF75" s="142"/>
      <c r="GG75" s="142"/>
      <c r="GH75" s="142"/>
      <c r="GI75" s="142"/>
      <c r="GJ75" s="142"/>
      <c r="GK75" s="142"/>
      <c r="GL75" s="142"/>
      <c r="GM75" s="142"/>
      <c r="GN75" s="142"/>
      <c r="GO75" s="142"/>
      <c r="GP75" s="142"/>
      <c r="GQ75" s="142"/>
      <c r="GR75" s="142"/>
      <c r="GS75" s="142"/>
      <c r="GT75" s="142"/>
      <c r="GU75" s="142"/>
      <c r="GV75" s="142"/>
      <c r="GW75" s="142"/>
      <c r="GX75" s="142"/>
      <c r="GY75" s="142"/>
      <c r="GZ75" s="142"/>
      <c r="HA75" s="142"/>
      <c r="HB75" s="142"/>
      <c r="HC75" s="142"/>
      <c r="HD75" s="142"/>
      <c r="HE75" s="142"/>
      <c r="HF75" s="142"/>
      <c r="HG75" s="142"/>
      <c r="HH75" s="142"/>
      <c r="HI75" s="142"/>
      <c r="HJ75" s="142"/>
      <c r="HK75" s="142"/>
      <c r="HL75" s="142"/>
      <c r="HM75" s="142"/>
      <c r="HN75" s="142"/>
      <c r="HO75" s="142"/>
      <c r="HP75" s="142"/>
      <c r="HQ75" s="142"/>
      <c r="HR75" s="142"/>
      <c r="HS75" s="142"/>
      <c r="HT75" s="142"/>
      <c r="HU75" s="142"/>
      <c r="HV75" s="142"/>
      <c r="HW75" s="142"/>
      <c r="HX75" s="142"/>
      <c r="HY75" s="142"/>
      <c r="HZ75" s="142"/>
      <c r="IA75" s="142"/>
      <c r="IB75" s="142"/>
      <c r="IC75" s="142"/>
      <c r="ID75" s="142"/>
      <c r="IE75" s="142"/>
      <c r="IF75" s="142"/>
      <c r="IG75" s="142"/>
      <c r="IH75" s="142"/>
      <c r="II75" s="142"/>
      <c r="IJ75" s="142"/>
      <c r="IK75" s="142"/>
      <c r="IL75" s="142"/>
      <c r="IM75" s="142"/>
      <c r="IN75" s="142"/>
      <c r="IO75" s="142"/>
      <c r="IP75" s="142"/>
      <c r="IQ75" s="142"/>
      <c r="IR75" s="142"/>
      <c r="IS75" s="142"/>
      <c r="IT75" s="142"/>
      <c r="IU75" s="142"/>
      <c r="IV75" s="142"/>
    </row>
    <row r="76" spans="1:256" ht="16.2" x14ac:dyDescent="0.25">
      <c r="A76" s="1092" t="s">
        <v>573</v>
      </c>
      <c r="B76" s="1382" t="s">
        <v>572</v>
      </c>
      <c r="C76" s="1383"/>
      <c r="D76" s="1168">
        <f>D77+D78+D80+D81+D82+D83+D84+D85+D79</f>
        <v>1363168</v>
      </c>
      <c r="E76" s="1185"/>
      <c r="F76" s="145"/>
      <c r="G76" s="145"/>
      <c r="H76" s="145"/>
      <c r="I76" s="145"/>
      <c r="J76" s="145"/>
      <c r="K76" s="145"/>
      <c r="L76" s="145"/>
      <c r="M76" s="145"/>
      <c r="N76" s="145"/>
      <c r="O76" s="145"/>
      <c r="P76" s="145"/>
      <c r="Q76" s="145"/>
      <c r="R76" s="145"/>
      <c r="S76" s="145"/>
      <c r="T76" s="145"/>
      <c r="U76" s="145"/>
      <c r="V76" s="145"/>
      <c r="W76" s="145"/>
      <c r="X76" s="145"/>
      <c r="Y76" s="145"/>
      <c r="Z76" s="145"/>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c r="CN76" s="145"/>
      <c r="CO76" s="145"/>
      <c r="CP76" s="145"/>
      <c r="CQ76" s="145"/>
      <c r="CR76" s="145"/>
      <c r="CS76" s="145"/>
      <c r="CT76" s="145"/>
      <c r="CU76" s="145"/>
      <c r="CV76" s="145"/>
      <c r="CW76" s="145"/>
      <c r="CX76" s="145"/>
      <c r="CY76" s="145"/>
      <c r="CZ76" s="145"/>
      <c r="DA76" s="145"/>
      <c r="DB76" s="145"/>
      <c r="DC76" s="145"/>
      <c r="DD76" s="145"/>
      <c r="DE76" s="145"/>
      <c r="DF76" s="145"/>
      <c r="DG76" s="145"/>
      <c r="DH76" s="145"/>
      <c r="DI76" s="145"/>
      <c r="DJ76" s="145"/>
      <c r="DK76" s="145"/>
      <c r="DL76" s="145"/>
      <c r="DM76" s="145"/>
      <c r="DN76" s="145"/>
      <c r="DO76" s="145"/>
      <c r="DP76" s="145"/>
      <c r="DQ76" s="145"/>
      <c r="DR76" s="145"/>
      <c r="DS76" s="145"/>
      <c r="DT76" s="145"/>
      <c r="DU76" s="145"/>
      <c r="DV76" s="145"/>
      <c r="DW76" s="145"/>
      <c r="DX76" s="145"/>
      <c r="DY76" s="145"/>
      <c r="DZ76" s="145"/>
      <c r="EA76" s="145"/>
      <c r="EB76" s="145"/>
      <c r="EC76" s="145"/>
      <c r="ED76" s="145"/>
      <c r="EE76" s="145"/>
      <c r="EF76" s="145"/>
      <c r="EG76" s="145"/>
      <c r="EH76" s="145"/>
      <c r="EI76" s="145"/>
      <c r="EJ76" s="145"/>
      <c r="EK76" s="145"/>
      <c r="EL76" s="145"/>
      <c r="EM76" s="145"/>
      <c r="EN76" s="145"/>
      <c r="EO76" s="145"/>
      <c r="EP76" s="145"/>
      <c r="EQ76" s="145"/>
      <c r="ER76" s="145"/>
      <c r="ES76" s="145"/>
      <c r="ET76" s="145"/>
      <c r="EU76" s="145"/>
      <c r="EV76" s="145"/>
      <c r="EW76" s="145"/>
      <c r="EX76" s="145"/>
      <c r="EY76" s="145"/>
      <c r="EZ76" s="145"/>
      <c r="FA76" s="145"/>
      <c r="FB76" s="145"/>
      <c r="FC76" s="145"/>
      <c r="FD76" s="145"/>
      <c r="FE76" s="145"/>
      <c r="FF76" s="145"/>
      <c r="FG76" s="145"/>
      <c r="FH76" s="145"/>
      <c r="FI76" s="145"/>
      <c r="FJ76" s="145"/>
      <c r="FK76" s="145"/>
      <c r="FL76" s="145"/>
      <c r="FM76" s="145"/>
      <c r="FN76" s="145"/>
      <c r="FO76" s="145"/>
      <c r="FP76" s="145"/>
      <c r="FQ76" s="145"/>
      <c r="FR76" s="145"/>
      <c r="FS76" s="145"/>
      <c r="FT76" s="145"/>
      <c r="FU76" s="145"/>
      <c r="FV76" s="145"/>
      <c r="FW76" s="145"/>
      <c r="FX76" s="145"/>
      <c r="FY76" s="145"/>
      <c r="FZ76" s="145"/>
      <c r="GA76" s="145"/>
      <c r="GB76" s="145"/>
      <c r="GC76" s="145"/>
      <c r="GD76" s="145"/>
      <c r="GE76" s="145"/>
      <c r="GF76" s="145"/>
      <c r="GG76" s="145"/>
      <c r="GH76" s="145"/>
      <c r="GI76" s="145"/>
      <c r="GJ76" s="145"/>
      <c r="GK76" s="145"/>
      <c r="GL76" s="145"/>
      <c r="GM76" s="145"/>
      <c r="GN76" s="145"/>
      <c r="GO76" s="145"/>
      <c r="GP76" s="145"/>
      <c r="GQ76" s="145"/>
      <c r="GR76" s="145"/>
      <c r="GS76" s="145"/>
      <c r="GT76" s="145"/>
      <c r="GU76" s="145"/>
      <c r="GV76" s="145"/>
      <c r="GW76" s="145"/>
      <c r="GX76" s="145"/>
      <c r="GY76" s="145"/>
      <c r="GZ76" s="145"/>
      <c r="HA76" s="145"/>
      <c r="HB76" s="145"/>
      <c r="HC76" s="145"/>
      <c r="HD76" s="145"/>
      <c r="HE76" s="145"/>
      <c r="HF76" s="145"/>
      <c r="HG76" s="145"/>
      <c r="HH76" s="145"/>
      <c r="HI76" s="145"/>
      <c r="HJ76" s="145"/>
      <c r="HK76" s="145"/>
      <c r="HL76" s="145"/>
      <c r="HM76" s="145"/>
      <c r="HN76" s="145"/>
      <c r="HO76" s="145"/>
      <c r="HP76" s="145"/>
      <c r="HQ76" s="145"/>
      <c r="HR76" s="145"/>
      <c r="HS76" s="145"/>
      <c r="HT76" s="145"/>
      <c r="HU76" s="145"/>
      <c r="HV76" s="145"/>
      <c r="HW76" s="145"/>
      <c r="HX76" s="145"/>
      <c r="HY76" s="145"/>
      <c r="HZ76" s="145"/>
      <c r="IA76" s="145"/>
      <c r="IB76" s="145"/>
      <c r="IC76" s="145"/>
      <c r="ID76" s="145"/>
      <c r="IE76" s="145"/>
      <c r="IF76" s="145"/>
      <c r="IG76" s="145"/>
      <c r="IH76" s="145"/>
      <c r="II76" s="145"/>
      <c r="IJ76" s="145"/>
      <c r="IK76" s="145"/>
      <c r="IL76" s="145"/>
      <c r="IM76" s="145"/>
      <c r="IN76" s="145"/>
      <c r="IO76" s="145"/>
      <c r="IP76" s="145"/>
      <c r="IQ76" s="145"/>
      <c r="IR76" s="145"/>
      <c r="IS76" s="145"/>
      <c r="IT76" s="145"/>
      <c r="IU76" s="145"/>
      <c r="IV76" s="145"/>
    </row>
    <row r="77" spans="1:256" ht="15.6" x14ac:dyDescent="0.25">
      <c r="A77" s="1094"/>
      <c r="B77" s="1379" t="s">
        <v>605</v>
      </c>
      <c r="C77" s="1380"/>
      <c r="D77" s="1167">
        <f>666190+84568</f>
        <v>750758</v>
      </c>
    </row>
    <row r="78" spans="1:256" ht="15.6" x14ac:dyDescent="0.25">
      <c r="A78" s="1094"/>
      <c r="B78" s="1379" t="s">
        <v>603</v>
      </c>
      <c r="C78" s="1380"/>
      <c r="D78" s="1167">
        <f>14900+40000+10800+50000</f>
        <v>115700</v>
      </c>
    </row>
    <row r="79" spans="1:256" ht="15.6" hidden="1" x14ac:dyDescent="0.25">
      <c r="A79" s="1094"/>
      <c r="B79" s="1379" t="s">
        <v>1205</v>
      </c>
      <c r="C79" s="1380"/>
      <c r="D79" s="1167"/>
    </row>
    <row r="80" spans="1:256" ht="15.6" x14ac:dyDescent="0.25">
      <c r="A80" s="1094"/>
      <c r="B80" s="1379" t="s">
        <v>577</v>
      </c>
      <c r="C80" s="1380"/>
      <c r="D80" s="1167">
        <f>30300+20000+107800</f>
        <v>158100</v>
      </c>
    </row>
    <row r="81" spans="1:256" ht="15.6" hidden="1" x14ac:dyDescent="0.25">
      <c r="A81" s="1094"/>
      <c r="B81" s="1379" t="s">
        <v>574</v>
      </c>
      <c r="C81" s="1380"/>
      <c r="D81" s="1167"/>
    </row>
    <row r="82" spans="1:256" ht="15.6" x14ac:dyDescent="0.25">
      <c r="A82" s="1094"/>
      <c r="B82" s="1379" t="s">
        <v>606</v>
      </c>
      <c r="C82" s="1380"/>
      <c r="D82" s="1167">
        <v>12500</v>
      </c>
    </row>
    <row r="83" spans="1:256" ht="15.6" x14ac:dyDescent="0.25">
      <c r="A83" s="1094"/>
      <c r="B83" s="1379" t="s">
        <v>575</v>
      </c>
      <c r="C83" s="1380"/>
      <c r="D83" s="1167">
        <f>246110+100000-50000</f>
        <v>296110</v>
      </c>
    </row>
    <row r="84" spans="1:256" ht="15.6" x14ac:dyDescent="0.25">
      <c r="A84" s="1094"/>
      <c r="B84" s="1379" t="s">
        <v>607</v>
      </c>
      <c r="C84" s="1380"/>
      <c r="D84" s="1167">
        <v>30000</v>
      </c>
    </row>
    <row r="85" spans="1:256" ht="15.6" hidden="1" x14ac:dyDescent="0.25">
      <c r="A85" s="1094"/>
      <c r="B85" s="1379" t="s">
        <v>630</v>
      </c>
      <c r="C85" s="1380"/>
      <c r="D85" s="1167"/>
    </row>
    <row r="86" spans="1:256" ht="16.2" x14ac:dyDescent="0.25">
      <c r="A86" s="1093" t="s">
        <v>573</v>
      </c>
      <c r="B86" s="1384" t="s">
        <v>602</v>
      </c>
      <c r="C86" s="1385"/>
      <c r="D86" s="1169">
        <v>80972</v>
      </c>
      <c r="E86" s="145"/>
      <c r="F86" s="145"/>
      <c r="G86" s="145"/>
      <c r="H86" s="145"/>
      <c r="I86" s="145"/>
      <c r="J86" s="145"/>
      <c r="K86" s="145"/>
      <c r="L86" s="145"/>
      <c r="M86" s="145"/>
      <c r="N86" s="145"/>
      <c r="O86" s="145"/>
      <c r="P86" s="145"/>
      <c r="Q86" s="145"/>
      <c r="R86" s="145"/>
      <c r="S86" s="145"/>
      <c r="T86" s="145"/>
      <c r="U86" s="145"/>
      <c r="V86" s="145"/>
      <c r="W86" s="145"/>
      <c r="X86" s="145"/>
      <c r="Y86" s="145"/>
      <c r="Z86" s="145"/>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145"/>
      <c r="CW86" s="145"/>
      <c r="CX86" s="145"/>
      <c r="CY86" s="145"/>
      <c r="CZ86" s="145"/>
      <c r="DA86" s="145"/>
      <c r="DB86" s="145"/>
      <c r="DC86" s="145"/>
      <c r="DD86" s="145"/>
      <c r="DE86" s="145"/>
      <c r="DF86" s="145"/>
      <c r="DG86" s="145"/>
      <c r="DH86" s="145"/>
      <c r="DI86" s="145"/>
      <c r="DJ86" s="145"/>
      <c r="DK86" s="145"/>
      <c r="DL86" s="145"/>
      <c r="DM86" s="145"/>
      <c r="DN86" s="145"/>
      <c r="DO86" s="145"/>
      <c r="DP86" s="145"/>
      <c r="DQ86" s="145"/>
      <c r="DR86" s="145"/>
      <c r="DS86" s="145"/>
      <c r="DT86" s="145"/>
      <c r="DU86" s="145"/>
      <c r="DV86" s="145"/>
      <c r="DW86" s="145"/>
      <c r="DX86" s="145"/>
      <c r="DY86" s="145"/>
      <c r="DZ86" s="145"/>
      <c r="EA86" s="145"/>
      <c r="EB86" s="145"/>
      <c r="EC86" s="145"/>
      <c r="ED86" s="145"/>
      <c r="EE86" s="145"/>
      <c r="EF86" s="145"/>
      <c r="EG86" s="145"/>
      <c r="EH86" s="145"/>
      <c r="EI86" s="145"/>
      <c r="EJ86" s="145"/>
      <c r="EK86" s="145"/>
      <c r="EL86" s="145"/>
      <c r="EM86" s="145"/>
      <c r="EN86" s="145"/>
      <c r="EO86" s="145"/>
      <c r="EP86" s="145"/>
      <c r="EQ86" s="145"/>
      <c r="ER86" s="145"/>
      <c r="ES86" s="145"/>
      <c r="ET86" s="145"/>
      <c r="EU86" s="145"/>
      <c r="EV86" s="145"/>
      <c r="EW86" s="145"/>
      <c r="EX86" s="145"/>
      <c r="EY86" s="145"/>
      <c r="EZ86" s="145"/>
      <c r="FA86" s="145"/>
      <c r="FB86" s="145"/>
      <c r="FC86" s="145"/>
      <c r="FD86" s="145"/>
      <c r="FE86" s="145"/>
      <c r="FF86" s="145"/>
      <c r="FG86" s="145"/>
      <c r="FH86" s="145"/>
      <c r="FI86" s="145"/>
      <c r="FJ86" s="145"/>
      <c r="FK86" s="145"/>
      <c r="FL86" s="145"/>
      <c r="FM86" s="145"/>
      <c r="FN86" s="145"/>
      <c r="FO86" s="145"/>
      <c r="FP86" s="145"/>
      <c r="FQ86" s="145"/>
      <c r="FR86" s="145"/>
      <c r="FS86" s="145"/>
      <c r="FT86" s="145"/>
      <c r="FU86" s="145"/>
      <c r="FV86" s="145"/>
      <c r="FW86" s="145"/>
      <c r="FX86" s="145"/>
      <c r="FY86" s="145"/>
      <c r="FZ86" s="145"/>
      <c r="GA86" s="145"/>
      <c r="GB86" s="145"/>
      <c r="GC86" s="145"/>
      <c r="GD86" s="145"/>
      <c r="GE86" s="145"/>
      <c r="GF86" s="145"/>
      <c r="GG86" s="145"/>
      <c r="GH86" s="145"/>
      <c r="GI86" s="145"/>
      <c r="GJ86" s="145"/>
      <c r="GK86" s="145"/>
      <c r="GL86" s="145"/>
      <c r="GM86" s="145"/>
      <c r="GN86" s="145"/>
      <c r="GO86" s="145"/>
      <c r="GP86" s="145"/>
      <c r="GQ86" s="145"/>
      <c r="GR86" s="145"/>
      <c r="GS86" s="145"/>
      <c r="GT86" s="145"/>
      <c r="GU86" s="145"/>
      <c r="GV86" s="145"/>
      <c r="GW86" s="145"/>
      <c r="GX86" s="145"/>
      <c r="GY86" s="145"/>
      <c r="GZ86" s="145"/>
      <c r="HA86" s="145"/>
      <c r="HB86" s="145"/>
      <c r="HC86" s="145"/>
      <c r="HD86" s="145"/>
      <c r="HE86" s="145"/>
      <c r="HF86" s="145"/>
      <c r="HG86" s="145"/>
      <c r="HH86" s="145"/>
      <c r="HI86" s="145"/>
      <c r="HJ86" s="145"/>
      <c r="HK86" s="145"/>
      <c r="HL86" s="145"/>
      <c r="HM86" s="145"/>
      <c r="HN86" s="145"/>
      <c r="HO86" s="145"/>
      <c r="HP86" s="145"/>
      <c r="HQ86" s="145"/>
      <c r="HR86" s="145"/>
      <c r="HS86" s="145"/>
      <c r="HT86" s="145"/>
      <c r="HU86" s="145"/>
      <c r="HV86" s="145"/>
      <c r="HW86" s="145"/>
      <c r="HX86" s="145"/>
      <c r="HY86" s="145"/>
      <c r="HZ86" s="145"/>
      <c r="IA86" s="145"/>
      <c r="IB86" s="145"/>
      <c r="IC86" s="145"/>
      <c r="ID86" s="145"/>
      <c r="IE86" s="145"/>
      <c r="IF86" s="145"/>
      <c r="IG86" s="145"/>
      <c r="IH86" s="145"/>
      <c r="II86" s="145"/>
      <c r="IJ86" s="145"/>
      <c r="IK86" s="145"/>
      <c r="IL86" s="145"/>
      <c r="IM86" s="145"/>
      <c r="IN86" s="145"/>
      <c r="IO86" s="145"/>
      <c r="IP86" s="145"/>
      <c r="IQ86" s="145"/>
      <c r="IR86" s="145"/>
      <c r="IS86" s="145"/>
      <c r="IT86" s="145"/>
      <c r="IU86" s="145"/>
      <c r="IV86" s="145"/>
    </row>
    <row r="87" spans="1:256" ht="16.2" x14ac:dyDescent="0.25">
      <c r="A87" s="1093" t="s">
        <v>573</v>
      </c>
      <c r="B87" s="1384" t="s">
        <v>579</v>
      </c>
      <c r="C87" s="1385"/>
      <c r="D87" s="1169">
        <v>329000</v>
      </c>
      <c r="E87" s="145"/>
      <c r="F87" s="145"/>
      <c r="G87" s="145"/>
      <c r="H87" s="145"/>
      <c r="I87" s="145"/>
      <c r="J87" s="145"/>
      <c r="K87" s="145"/>
      <c r="L87" s="145"/>
      <c r="M87" s="145"/>
      <c r="N87" s="145"/>
      <c r="O87" s="145"/>
      <c r="P87" s="145"/>
      <c r="Q87" s="145"/>
      <c r="R87" s="145"/>
      <c r="S87" s="145"/>
      <c r="T87" s="145"/>
      <c r="U87" s="145"/>
      <c r="V87" s="145"/>
      <c r="W87" s="145"/>
      <c r="X87" s="145"/>
      <c r="Y87" s="145"/>
      <c r="Z87" s="145"/>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c r="CN87" s="145"/>
      <c r="CO87" s="145"/>
      <c r="CP87" s="145"/>
      <c r="CQ87" s="145"/>
      <c r="CR87" s="145"/>
      <c r="CS87" s="145"/>
      <c r="CT87" s="145"/>
      <c r="CU87" s="145"/>
      <c r="CV87" s="145"/>
      <c r="CW87" s="145"/>
      <c r="CX87" s="145"/>
      <c r="CY87" s="145"/>
      <c r="CZ87" s="145"/>
      <c r="DA87" s="145"/>
      <c r="DB87" s="145"/>
      <c r="DC87" s="145"/>
      <c r="DD87" s="145"/>
      <c r="DE87" s="145"/>
      <c r="DF87" s="145"/>
      <c r="DG87" s="145"/>
      <c r="DH87" s="145"/>
      <c r="DI87" s="145"/>
      <c r="DJ87" s="145"/>
      <c r="DK87" s="145"/>
      <c r="DL87" s="145"/>
      <c r="DM87" s="145"/>
      <c r="DN87" s="145"/>
      <c r="DO87" s="145"/>
      <c r="DP87" s="145"/>
      <c r="DQ87" s="145"/>
      <c r="DR87" s="145"/>
      <c r="DS87" s="145"/>
      <c r="DT87" s="145"/>
      <c r="DU87" s="145"/>
      <c r="DV87" s="145"/>
      <c r="DW87" s="145"/>
      <c r="DX87" s="145"/>
      <c r="DY87" s="145"/>
      <c r="DZ87" s="145"/>
      <c r="EA87" s="145"/>
      <c r="EB87" s="145"/>
      <c r="EC87" s="145"/>
      <c r="ED87" s="145"/>
      <c r="EE87" s="145"/>
      <c r="EF87" s="145"/>
      <c r="EG87" s="145"/>
      <c r="EH87" s="145"/>
      <c r="EI87" s="145"/>
      <c r="EJ87" s="145"/>
      <c r="EK87" s="145"/>
      <c r="EL87" s="145"/>
      <c r="EM87" s="145"/>
      <c r="EN87" s="145"/>
      <c r="EO87" s="145"/>
      <c r="EP87" s="145"/>
      <c r="EQ87" s="145"/>
      <c r="ER87" s="145"/>
      <c r="ES87" s="145"/>
      <c r="ET87" s="145"/>
      <c r="EU87" s="145"/>
      <c r="EV87" s="145"/>
      <c r="EW87" s="145"/>
      <c r="EX87" s="145"/>
      <c r="EY87" s="145"/>
      <c r="EZ87" s="145"/>
      <c r="FA87" s="145"/>
      <c r="FB87" s="145"/>
      <c r="FC87" s="145"/>
      <c r="FD87" s="145"/>
      <c r="FE87" s="145"/>
      <c r="FF87" s="145"/>
      <c r="FG87" s="145"/>
      <c r="FH87" s="145"/>
      <c r="FI87" s="145"/>
      <c r="FJ87" s="145"/>
      <c r="FK87" s="145"/>
      <c r="FL87" s="145"/>
      <c r="FM87" s="145"/>
      <c r="FN87" s="145"/>
      <c r="FO87" s="145"/>
      <c r="FP87" s="145"/>
      <c r="FQ87" s="145"/>
      <c r="FR87" s="145"/>
      <c r="FS87" s="145"/>
      <c r="FT87" s="145"/>
      <c r="FU87" s="145"/>
      <c r="FV87" s="145"/>
      <c r="FW87" s="145"/>
      <c r="FX87" s="145"/>
      <c r="FY87" s="145"/>
      <c r="FZ87" s="145"/>
      <c r="GA87" s="145"/>
      <c r="GB87" s="145"/>
      <c r="GC87" s="145"/>
      <c r="GD87" s="145"/>
      <c r="GE87" s="145"/>
      <c r="GF87" s="145"/>
      <c r="GG87" s="145"/>
      <c r="GH87" s="145"/>
      <c r="GI87" s="145"/>
      <c r="GJ87" s="145"/>
      <c r="GK87" s="145"/>
      <c r="GL87" s="145"/>
      <c r="GM87" s="145"/>
      <c r="GN87" s="145"/>
      <c r="GO87" s="145"/>
      <c r="GP87" s="145"/>
      <c r="GQ87" s="145"/>
      <c r="GR87" s="145"/>
      <c r="GS87" s="145"/>
      <c r="GT87" s="145"/>
      <c r="GU87" s="145"/>
      <c r="GV87" s="145"/>
      <c r="GW87" s="145"/>
      <c r="GX87" s="145"/>
      <c r="GY87" s="145"/>
      <c r="GZ87" s="145"/>
      <c r="HA87" s="145"/>
      <c r="HB87" s="145"/>
      <c r="HC87" s="145"/>
      <c r="HD87" s="145"/>
      <c r="HE87" s="145"/>
      <c r="HF87" s="145"/>
      <c r="HG87" s="145"/>
      <c r="HH87" s="145"/>
      <c r="HI87" s="145"/>
      <c r="HJ87" s="145"/>
      <c r="HK87" s="145"/>
      <c r="HL87" s="145"/>
      <c r="HM87" s="145"/>
      <c r="HN87" s="145"/>
      <c r="HO87" s="145"/>
      <c r="HP87" s="145"/>
      <c r="HQ87" s="145"/>
      <c r="HR87" s="145"/>
      <c r="HS87" s="145"/>
      <c r="HT87" s="145"/>
      <c r="HU87" s="145"/>
      <c r="HV87" s="145"/>
      <c r="HW87" s="145"/>
      <c r="HX87" s="145"/>
      <c r="HY87" s="145"/>
      <c r="HZ87" s="145"/>
      <c r="IA87" s="145"/>
      <c r="IB87" s="145"/>
      <c r="IC87" s="145"/>
      <c r="ID87" s="145"/>
      <c r="IE87" s="145"/>
      <c r="IF87" s="145"/>
      <c r="IG87" s="145"/>
      <c r="IH87" s="145"/>
      <c r="II87" s="145"/>
      <c r="IJ87" s="145"/>
      <c r="IK87" s="145"/>
      <c r="IL87" s="145"/>
      <c r="IM87" s="145"/>
      <c r="IN87" s="145"/>
      <c r="IO87" s="145"/>
      <c r="IP87" s="145"/>
      <c r="IQ87" s="145"/>
      <c r="IR87" s="145"/>
      <c r="IS87" s="145"/>
      <c r="IT87" s="145"/>
      <c r="IU87" s="145"/>
      <c r="IV87" s="145"/>
    </row>
    <row r="88" spans="1:256" ht="16.2" x14ac:dyDescent="0.25">
      <c r="A88" s="1092" t="s">
        <v>573</v>
      </c>
      <c r="B88" s="1377" t="s">
        <v>576</v>
      </c>
      <c r="C88" s="1378"/>
      <c r="D88" s="1168">
        <f>D89+D90+D91</f>
        <v>700000</v>
      </c>
      <c r="E88" s="145"/>
      <c r="F88" s="145"/>
      <c r="G88" s="145"/>
      <c r="H88" s="145"/>
      <c r="I88" s="145"/>
      <c r="J88" s="145"/>
      <c r="K88" s="145"/>
      <c r="L88" s="145"/>
      <c r="M88" s="145"/>
      <c r="N88" s="145"/>
      <c r="O88" s="145"/>
      <c r="P88" s="145"/>
      <c r="Q88" s="145"/>
      <c r="R88" s="145"/>
      <c r="S88" s="145"/>
      <c r="T88" s="145"/>
      <c r="U88" s="145"/>
      <c r="V88" s="145"/>
      <c r="W88" s="145"/>
      <c r="X88" s="145"/>
      <c r="Y88" s="145"/>
      <c r="Z88" s="145"/>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45"/>
      <c r="CW88" s="145"/>
      <c r="CX88" s="145"/>
      <c r="CY88" s="145"/>
      <c r="CZ88" s="145"/>
      <c r="DA88" s="145"/>
      <c r="DB88" s="145"/>
      <c r="DC88" s="145"/>
      <c r="DD88" s="145"/>
      <c r="DE88" s="145"/>
      <c r="DF88" s="145"/>
      <c r="DG88" s="145"/>
      <c r="DH88" s="145"/>
      <c r="DI88" s="145"/>
      <c r="DJ88" s="145"/>
      <c r="DK88" s="145"/>
      <c r="DL88" s="145"/>
      <c r="DM88" s="145"/>
      <c r="DN88" s="145"/>
      <c r="DO88" s="145"/>
      <c r="DP88" s="145"/>
      <c r="DQ88" s="145"/>
      <c r="DR88" s="145"/>
      <c r="DS88" s="145"/>
      <c r="DT88" s="145"/>
      <c r="DU88" s="145"/>
      <c r="DV88" s="145"/>
      <c r="DW88" s="145"/>
      <c r="DX88" s="145"/>
      <c r="DY88" s="145"/>
      <c r="DZ88" s="145"/>
      <c r="EA88" s="145"/>
      <c r="EB88" s="145"/>
      <c r="EC88" s="145"/>
      <c r="ED88" s="145"/>
      <c r="EE88" s="145"/>
      <c r="EF88" s="145"/>
      <c r="EG88" s="145"/>
      <c r="EH88" s="145"/>
      <c r="EI88" s="145"/>
      <c r="EJ88" s="145"/>
      <c r="EK88" s="145"/>
      <c r="EL88" s="145"/>
      <c r="EM88" s="145"/>
      <c r="EN88" s="145"/>
      <c r="EO88" s="145"/>
      <c r="EP88" s="145"/>
      <c r="EQ88" s="145"/>
      <c r="ER88" s="145"/>
      <c r="ES88" s="145"/>
      <c r="ET88" s="145"/>
      <c r="EU88" s="145"/>
      <c r="EV88" s="145"/>
      <c r="EW88" s="145"/>
      <c r="EX88" s="145"/>
      <c r="EY88" s="145"/>
      <c r="EZ88" s="145"/>
      <c r="FA88" s="145"/>
      <c r="FB88" s="145"/>
      <c r="FC88" s="145"/>
      <c r="FD88" s="145"/>
      <c r="FE88" s="145"/>
      <c r="FF88" s="145"/>
      <c r="FG88" s="145"/>
      <c r="FH88" s="145"/>
      <c r="FI88" s="145"/>
      <c r="FJ88" s="145"/>
      <c r="FK88" s="145"/>
      <c r="FL88" s="145"/>
      <c r="FM88" s="145"/>
      <c r="FN88" s="145"/>
      <c r="FO88" s="145"/>
      <c r="FP88" s="145"/>
      <c r="FQ88" s="145"/>
      <c r="FR88" s="145"/>
      <c r="FS88" s="145"/>
      <c r="FT88" s="145"/>
      <c r="FU88" s="145"/>
      <c r="FV88" s="145"/>
      <c r="FW88" s="145"/>
      <c r="FX88" s="145"/>
      <c r="FY88" s="145"/>
      <c r="FZ88" s="145"/>
      <c r="GA88" s="145"/>
      <c r="GB88" s="145"/>
      <c r="GC88" s="145"/>
      <c r="GD88" s="145"/>
      <c r="GE88" s="145"/>
      <c r="GF88" s="145"/>
      <c r="GG88" s="145"/>
      <c r="GH88" s="145"/>
      <c r="GI88" s="145"/>
      <c r="GJ88" s="145"/>
      <c r="GK88" s="145"/>
      <c r="GL88" s="145"/>
      <c r="GM88" s="145"/>
      <c r="GN88" s="145"/>
      <c r="GO88" s="145"/>
      <c r="GP88" s="145"/>
      <c r="GQ88" s="145"/>
      <c r="GR88" s="145"/>
      <c r="GS88" s="145"/>
      <c r="GT88" s="145"/>
      <c r="GU88" s="145"/>
      <c r="GV88" s="145"/>
      <c r="GW88" s="145"/>
      <c r="GX88" s="145"/>
      <c r="GY88" s="145"/>
      <c r="GZ88" s="145"/>
      <c r="HA88" s="145"/>
      <c r="HB88" s="145"/>
      <c r="HC88" s="145"/>
      <c r="HD88" s="145"/>
      <c r="HE88" s="145"/>
      <c r="HF88" s="145"/>
      <c r="HG88" s="145"/>
      <c r="HH88" s="145"/>
      <c r="HI88" s="145"/>
      <c r="HJ88" s="145"/>
      <c r="HK88" s="145"/>
      <c r="HL88" s="145"/>
      <c r="HM88" s="145"/>
      <c r="HN88" s="145"/>
      <c r="HO88" s="145"/>
      <c r="HP88" s="145"/>
      <c r="HQ88" s="145"/>
      <c r="HR88" s="145"/>
      <c r="HS88" s="145"/>
      <c r="HT88" s="145"/>
      <c r="HU88" s="145"/>
      <c r="HV88" s="145"/>
      <c r="HW88" s="145"/>
      <c r="HX88" s="145"/>
      <c r="HY88" s="145"/>
      <c r="HZ88" s="145"/>
      <c r="IA88" s="145"/>
      <c r="IB88" s="145"/>
      <c r="IC88" s="145"/>
      <c r="ID88" s="145"/>
      <c r="IE88" s="145"/>
      <c r="IF88" s="145"/>
      <c r="IG88" s="145"/>
      <c r="IH88" s="145"/>
      <c r="II88" s="145"/>
      <c r="IJ88" s="145"/>
      <c r="IK88" s="145"/>
      <c r="IL88" s="145"/>
      <c r="IM88" s="145"/>
      <c r="IN88" s="145"/>
      <c r="IO88" s="145"/>
      <c r="IP88" s="145"/>
      <c r="IQ88" s="145"/>
      <c r="IR88" s="145"/>
      <c r="IS88" s="145"/>
      <c r="IT88" s="145"/>
      <c r="IU88" s="145"/>
      <c r="IV88" s="145"/>
    </row>
    <row r="89" spans="1:256" ht="15.6" x14ac:dyDescent="0.25">
      <c r="A89" s="1094"/>
      <c r="B89" s="1379" t="s">
        <v>603</v>
      </c>
      <c r="C89" s="1380"/>
      <c r="D89" s="1167">
        <f>50000+91100</f>
        <v>141100</v>
      </c>
    </row>
    <row r="90" spans="1:256" ht="15.6" x14ac:dyDescent="0.25">
      <c r="A90" s="1094"/>
      <c r="B90" s="1379" t="s">
        <v>577</v>
      </c>
      <c r="C90" s="1380"/>
      <c r="D90" s="1167">
        <f>350000+108900</f>
        <v>458900</v>
      </c>
    </row>
    <row r="91" spans="1:256" ht="15.6" x14ac:dyDescent="0.25">
      <c r="A91" s="1094"/>
      <c r="B91" s="1379" t="s">
        <v>574</v>
      </c>
      <c r="C91" s="1380"/>
      <c r="D91" s="1167">
        <v>100000</v>
      </c>
    </row>
    <row r="92" spans="1:256" ht="15.6" x14ac:dyDescent="0.25">
      <c r="A92" s="417">
        <v>1151900000</v>
      </c>
      <c r="B92" s="203" t="s">
        <v>853</v>
      </c>
      <c r="C92" s="204"/>
      <c r="D92" s="1119">
        <f>D93</f>
        <v>100000</v>
      </c>
    </row>
    <row r="93" spans="1:256" ht="16.2" x14ac:dyDescent="0.25">
      <c r="A93" s="418" t="s">
        <v>573</v>
      </c>
      <c r="B93" s="1377" t="s">
        <v>576</v>
      </c>
      <c r="C93" s="1378"/>
      <c r="D93" s="1166">
        <f>D94</f>
        <v>100000</v>
      </c>
    </row>
    <row r="94" spans="1:256" ht="16.2" x14ac:dyDescent="0.25">
      <c r="A94" s="418"/>
      <c r="B94" s="1379" t="s">
        <v>575</v>
      </c>
      <c r="C94" s="1380"/>
      <c r="D94" s="1167">
        <v>100000</v>
      </c>
    </row>
    <row r="95" spans="1:256" ht="15.6" x14ac:dyDescent="0.3">
      <c r="A95" s="1370" t="s">
        <v>561</v>
      </c>
      <c r="B95" s="1371"/>
      <c r="C95" s="1371"/>
      <c r="D95" s="1372"/>
    </row>
    <row r="96" spans="1:256" ht="51.6" customHeight="1" x14ac:dyDescent="0.25">
      <c r="A96" s="240">
        <v>41033100</v>
      </c>
      <c r="B96" s="1381" t="s">
        <v>667</v>
      </c>
      <c r="C96" s="1381"/>
      <c r="D96" s="1270">
        <f>D97</f>
        <v>51887825</v>
      </c>
    </row>
    <row r="97" spans="1:4" ht="15.75" customHeight="1" x14ac:dyDescent="0.25">
      <c r="A97" s="1091" t="s">
        <v>549</v>
      </c>
      <c r="B97" s="199" t="s">
        <v>550</v>
      </c>
      <c r="C97" s="200"/>
      <c r="D97" s="1271">
        <v>51887825</v>
      </c>
    </row>
    <row r="98" spans="1:4" ht="15.75" customHeight="1" x14ac:dyDescent="0.3">
      <c r="A98" s="1232" t="s">
        <v>555</v>
      </c>
      <c r="B98" s="201" t="s">
        <v>12</v>
      </c>
      <c r="C98" s="202"/>
      <c r="D98" s="1186">
        <f>D99</f>
        <v>372520</v>
      </c>
    </row>
    <row r="99" spans="1:4" ht="15.75" customHeight="1" x14ac:dyDescent="0.25">
      <c r="A99" s="1095">
        <v>1154900000</v>
      </c>
      <c r="B99" s="205" t="s">
        <v>560</v>
      </c>
      <c r="C99" s="206"/>
      <c r="D99" s="1169">
        <f>D100</f>
        <v>372520</v>
      </c>
    </row>
    <row r="100" spans="1:4" ht="15.75" customHeight="1" x14ac:dyDescent="0.25">
      <c r="A100" s="1092" t="s">
        <v>573</v>
      </c>
      <c r="B100" s="1382" t="s">
        <v>572</v>
      </c>
      <c r="C100" s="1383"/>
      <c r="D100" s="1168">
        <f>D101</f>
        <v>372520</v>
      </c>
    </row>
    <row r="101" spans="1:4" ht="15.75" customHeight="1" x14ac:dyDescent="0.25">
      <c r="A101" s="1094"/>
      <c r="B101" s="1379" t="s">
        <v>1265</v>
      </c>
      <c r="C101" s="1380"/>
      <c r="D101" s="1167">
        <f>258720+113800</f>
        <v>372520</v>
      </c>
    </row>
    <row r="102" spans="1:4" ht="15.75" hidden="1" customHeight="1" x14ac:dyDescent="0.25">
      <c r="A102" s="1094"/>
      <c r="B102" s="1379"/>
      <c r="C102" s="1380"/>
      <c r="D102" s="1167"/>
    </row>
    <row r="103" spans="1:4" ht="15.75" customHeight="1" x14ac:dyDescent="0.3">
      <c r="A103" s="1096" t="s">
        <v>2</v>
      </c>
      <c r="B103" s="207" t="s">
        <v>631</v>
      </c>
      <c r="C103" s="856"/>
      <c r="D103" s="1097">
        <f>D104+D105</f>
        <v>97684349</v>
      </c>
    </row>
    <row r="104" spans="1:4" ht="15.6" x14ac:dyDescent="0.3">
      <c r="A104" s="1096" t="s">
        <v>2</v>
      </c>
      <c r="B104" s="207" t="s">
        <v>541</v>
      </c>
      <c r="C104" s="204"/>
      <c r="D104" s="1097">
        <f>D32+D28+D26+D16+D12+D22+D20+D30+D28+D18+D24</f>
        <v>45424004</v>
      </c>
    </row>
    <row r="105" spans="1:4" ht="15.6" x14ac:dyDescent="0.3">
      <c r="A105" s="1096" t="s">
        <v>2</v>
      </c>
      <c r="B105" s="207" t="s">
        <v>542</v>
      </c>
      <c r="C105" s="204"/>
      <c r="D105" s="1097">
        <f>D98+D96</f>
        <v>52260345</v>
      </c>
    </row>
    <row r="106" spans="1:4" ht="15.6" x14ac:dyDescent="0.3">
      <c r="A106" s="1098"/>
      <c r="B106" s="1099"/>
      <c r="C106" s="1099"/>
      <c r="D106" s="1100">
        <f>D103-'Дод 1'!C86</f>
        <v>0</v>
      </c>
    </row>
    <row r="107" spans="1:4" ht="15.6" x14ac:dyDescent="0.3">
      <c r="A107" s="1101" t="s">
        <v>562</v>
      </c>
      <c r="B107" s="1102"/>
      <c r="C107" s="1102"/>
      <c r="D107" s="1103" t="s">
        <v>545</v>
      </c>
    </row>
    <row r="108" spans="1:4" ht="124.8" x14ac:dyDescent="0.25">
      <c r="A108" s="1104" t="s">
        <v>563</v>
      </c>
      <c r="B108" s="857" t="s">
        <v>632</v>
      </c>
      <c r="C108" s="857" t="s">
        <v>564</v>
      </c>
      <c r="D108" s="1105" t="s">
        <v>246</v>
      </c>
    </row>
    <row r="109" spans="1:4" ht="15.6" x14ac:dyDescent="0.25">
      <c r="A109" s="1106">
        <v>1</v>
      </c>
      <c r="B109" s="858">
        <v>2</v>
      </c>
      <c r="C109" s="858">
        <v>3</v>
      </c>
      <c r="D109" s="1107">
        <v>4</v>
      </c>
    </row>
    <row r="110" spans="1:4" ht="15.6" x14ac:dyDescent="0.3">
      <c r="A110" s="1373" t="s">
        <v>565</v>
      </c>
      <c r="B110" s="1374"/>
      <c r="C110" s="1374"/>
      <c r="D110" s="1375"/>
    </row>
    <row r="111" spans="1:4" ht="15.6" x14ac:dyDescent="0.3">
      <c r="A111" s="1229" t="s">
        <v>549</v>
      </c>
      <c r="B111" s="1230"/>
      <c r="C111" s="1230" t="s">
        <v>550</v>
      </c>
      <c r="D111" s="1231">
        <f>D112+D113+D114+D115</f>
        <v>500000</v>
      </c>
    </row>
    <row r="112" spans="1:4" ht="15.6" x14ac:dyDescent="0.3">
      <c r="A112" s="795" t="s">
        <v>709</v>
      </c>
      <c r="B112" s="1017">
        <v>9800</v>
      </c>
      <c r="C112" s="1017" t="s">
        <v>550</v>
      </c>
      <c r="D112" s="796">
        <v>150000</v>
      </c>
    </row>
    <row r="113" spans="1:256" ht="15.6" x14ac:dyDescent="0.3">
      <c r="A113" s="795" t="s">
        <v>709</v>
      </c>
      <c r="B113" s="1017">
        <v>9800</v>
      </c>
      <c r="C113" s="1017" t="s">
        <v>550</v>
      </c>
      <c r="D113" s="796">
        <f>90000+60000</f>
        <v>150000</v>
      </c>
    </row>
    <row r="114" spans="1:256" ht="15.6" x14ac:dyDescent="0.3">
      <c r="A114" s="795" t="s">
        <v>709</v>
      </c>
      <c r="B114" s="1017">
        <v>9800</v>
      </c>
      <c r="C114" s="1017" t="s">
        <v>550</v>
      </c>
      <c r="D114" s="796">
        <v>100000</v>
      </c>
    </row>
    <row r="115" spans="1:256" ht="15.6" x14ac:dyDescent="0.3">
      <c r="A115" s="795" t="s">
        <v>709</v>
      </c>
      <c r="B115" s="1017">
        <v>9800</v>
      </c>
      <c r="C115" s="1017" t="s">
        <v>550</v>
      </c>
      <c r="D115" s="796">
        <v>100000</v>
      </c>
    </row>
    <row r="116" spans="1:256" ht="15.6" x14ac:dyDescent="0.3">
      <c r="A116" s="1376" t="s">
        <v>566</v>
      </c>
      <c r="B116" s="1371"/>
      <c r="C116" s="1371"/>
      <c r="D116" s="1372"/>
    </row>
    <row r="117" spans="1:256" ht="15.6" x14ac:dyDescent="0.3">
      <c r="A117" s="1229" t="s">
        <v>549</v>
      </c>
      <c r="B117" s="1230"/>
      <c r="C117" s="1230" t="s">
        <v>550</v>
      </c>
      <c r="D117" s="1231">
        <f>D121+D118+D119+D120</f>
        <v>550000</v>
      </c>
    </row>
    <row r="118" spans="1:256" ht="15.6" x14ac:dyDescent="0.3">
      <c r="A118" s="795" t="s">
        <v>709</v>
      </c>
      <c r="B118" s="1017">
        <v>9800</v>
      </c>
      <c r="C118" s="1017" t="s">
        <v>550</v>
      </c>
      <c r="D118" s="796">
        <f>60000-60000</f>
        <v>0</v>
      </c>
    </row>
    <row r="119" spans="1:256" ht="15.6" x14ac:dyDescent="0.3">
      <c r="A119" s="795" t="s">
        <v>709</v>
      </c>
      <c r="B119" s="1017">
        <v>9800</v>
      </c>
      <c r="C119" s="1017" t="s">
        <v>550</v>
      </c>
      <c r="D119" s="796">
        <v>200000</v>
      </c>
    </row>
    <row r="120" spans="1:256" ht="15.6" x14ac:dyDescent="0.3">
      <c r="A120" s="795" t="s">
        <v>709</v>
      </c>
      <c r="B120" s="1017">
        <v>9800</v>
      </c>
      <c r="C120" s="1017" t="s">
        <v>550</v>
      </c>
      <c r="D120" s="796">
        <v>100000</v>
      </c>
    </row>
    <row r="121" spans="1:256" ht="15.6" x14ac:dyDescent="0.3">
      <c r="A121" s="795" t="s">
        <v>709</v>
      </c>
      <c r="B121" s="1017">
        <v>9800</v>
      </c>
      <c r="C121" s="1017" t="s">
        <v>550</v>
      </c>
      <c r="D121" s="796">
        <v>250000</v>
      </c>
    </row>
    <row r="122" spans="1:256" ht="15.6" x14ac:dyDescent="0.3">
      <c r="A122" s="1108" t="s">
        <v>2</v>
      </c>
      <c r="B122" s="208" t="s">
        <v>2</v>
      </c>
      <c r="C122" s="209" t="s">
        <v>631</v>
      </c>
      <c r="D122" s="1109">
        <f>D123+D124</f>
        <v>1050000</v>
      </c>
    </row>
    <row r="123" spans="1:256" ht="15.6" x14ac:dyDescent="0.3">
      <c r="A123" s="1110" t="s">
        <v>2</v>
      </c>
      <c r="B123" s="210" t="s">
        <v>2</v>
      </c>
      <c r="C123" s="211" t="s">
        <v>541</v>
      </c>
      <c r="D123" s="1111">
        <f>D111</f>
        <v>500000</v>
      </c>
    </row>
    <row r="124" spans="1:256" ht="16.2" thickBot="1" x14ac:dyDescent="0.35">
      <c r="A124" s="1112" t="s">
        <v>2</v>
      </c>
      <c r="B124" s="1113" t="s">
        <v>2</v>
      </c>
      <c r="C124" s="1114" t="s">
        <v>542</v>
      </c>
      <c r="D124" s="1115">
        <f>D117</f>
        <v>550000</v>
      </c>
    </row>
    <row r="125" spans="1:256" ht="61.2" customHeight="1" x14ac:dyDescent="0.25"/>
    <row r="126" spans="1:256" ht="15.6" x14ac:dyDescent="0.3">
      <c r="A126" s="171" t="s">
        <v>1</v>
      </c>
      <c r="B126" s="172"/>
      <c r="C126" s="172"/>
      <c r="D126" s="212" t="s">
        <v>650</v>
      </c>
      <c r="E126" s="172"/>
      <c r="F126" s="172"/>
      <c r="G126" s="172"/>
      <c r="H126" s="172"/>
      <c r="I126" s="172"/>
      <c r="J126" s="213"/>
      <c r="K126" s="214"/>
      <c r="L126" s="214"/>
      <c r="M126" s="214"/>
      <c r="N126" s="214"/>
      <c r="O126" s="214"/>
      <c r="P126" s="214"/>
      <c r="Q126" s="214"/>
      <c r="R126" s="214"/>
      <c r="S126" s="214"/>
      <c r="T126" s="214"/>
      <c r="U126" s="214"/>
      <c r="V126" s="214"/>
      <c r="W126" s="172"/>
      <c r="X126" s="172"/>
      <c r="Y126" s="172"/>
      <c r="Z126" s="172"/>
      <c r="AA126" s="172"/>
      <c r="AB126" s="172"/>
      <c r="AC126" s="172"/>
      <c r="AD126" s="172"/>
      <c r="AE126" s="172"/>
      <c r="AF126" s="172"/>
      <c r="AG126" s="172"/>
      <c r="AH126" s="172"/>
      <c r="AI126" s="172"/>
      <c r="AJ126" s="172"/>
      <c r="AK126" s="172"/>
      <c r="AL126" s="172"/>
      <c r="AM126" s="172"/>
      <c r="AN126" s="172"/>
      <c r="AO126" s="172"/>
      <c r="AP126" s="172"/>
      <c r="AQ126" s="172"/>
      <c r="AR126" s="172"/>
      <c r="AS126" s="172"/>
      <c r="AT126" s="172"/>
      <c r="AU126" s="172"/>
      <c r="AV126" s="172"/>
      <c r="AW126" s="172"/>
      <c r="AX126" s="172"/>
      <c r="AY126" s="172"/>
      <c r="AZ126" s="172"/>
      <c r="BA126" s="172"/>
      <c r="BB126" s="172"/>
      <c r="BC126" s="172"/>
      <c r="BD126" s="172"/>
      <c r="BE126" s="172"/>
      <c r="BF126" s="172"/>
      <c r="BG126" s="172"/>
      <c r="BH126" s="172"/>
      <c r="BI126" s="172"/>
      <c r="BJ126" s="172"/>
      <c r="BK126" s="172"/>
      <c r="BL126" s="172"/>
      <c r="BM126" s="172"/>
      <c r="BN126" s="172"/>
      <c r="BO126" s="172"/>
      <c r="BP126" s="172"/>
      <c r="BQ126" s="172"/>
      <c r="BR126" s="172"/>
      <c r="BS126" s="172"/>
      <c r="BT126" s="172"/>
      <c r="BU126" s="172"/>
      <c r="BV126" s="172"/>
      <c r="BW126" s="172"/>
      <c r="BX126" s="172"/>
      <c r="BY126" s="172"/>
      <c r="BZ126" s="172"/>
      <c r="CA126" s="172"/>
      <c r="CB126" s="172"/>
      <c r="CC126" s="172"/>
      <c r="CD126" s="172"/>
      <c r="CE126" s="172"/>
      <c r="CF126" s="172"/>
      <c r="CG126" s="172"/>
      <c r="CH126" s="172"/>
      <c r="CI126" s="172"/>
      <c r="CJ126" s="172"/>
      <c r="CK126" s="172"/>
      <c r="CL126" s="172"/>
      <c r="CM126" s="172"/>
      <c r="CN126" s="172"/>
      <c r="CO126" s="172"/>
      <c r="CP126" s="172"/>
      <c r="CQ126" s="172"/>
      <c r="CR126" s="172"/>
      <c r="CS126" s="172"/>
      <c r="CT126" s="172"/>
      <c r="CU126" s="172"/>
      <c r="CV126" s="172"/>
      <c r="CW126" s="172"/>
      <c r="CX126" s="172"/>
      <c r="CY126" s="172"/>
      <c r="CZ126" s="172"/>
      <c r="DA126" s="172"/>
      <c r="DB126" s="172"/>
      <c r="DC126" s="172"/>
      <c r="DD126" s="172"/>
      <c r="DE126" s="172"/>
      <c r="DF126" s="172"/>
      <c r="DG126" s="172"/>
      <c r="DH126" s="172"/>
      <c r="DI126" s="172"/>
      <c r="DJ126" s="172"/>
      <c r="DK126" s="172"/>
      <c r="DL126" s="172"/>
      <c r="DM126" s="172"/>
      <c r="DN126" s="172"/>
      <c r="DO126" s="172"/>
      <c r="DP126" s="172"/>
      <c r="DQ126" s="172"/>
      <c r="DR126" s="172"/>
      <c r="DS126" s="172"/>
      <c r="DT126" s="172"/>
      <c r="DU126" s="172"/>
      <c r="DV126" s="172"/>
      <c r="DW126" s="172"/>
      <c r="DX126" s="172"/>
      <c r="DY126" s="172"/>
      <c r="DZ126" s="172"/>
      <c r="EA126" s="172"/>
      <c r="EB126" s="172"/>
      <c r="EC126" s="172"/>
      <c r="ED126" s="172"/>
      <c r="EE126" s="172"/>
      <c r="EF126" s="172"/>
      <c r="EG126" s="172"/>
      <c r="EH126" s="172"/>
      <c r="EI126" s="172"/>
      <c r="EJ126" s="172"/>
      <c r="EK126" s="172"/>
      <c r="EL126" s="172"/>
      <c r="EM126" s="172"/>
      <c r="EN126" s="172"/>
      <c r="EO126" s="172"/>
      <c r="EP126" s="172"/>
      <c r="EQ126" s="172"/>
      <c r="ER126" s="172"/>
      <c r="ES126" s="172"/>
      <c r="ET126" s="172"/>
      <c r="EU126" s="172"/>
      <c r="EV126" s="172"/>
      <c r="EW126" s="172"/>
      <c r="EX126" s="172"/>
      <c r="EY126" s="172"/>
      <c r="EZ126" s="172"/>
      <c r="FA126" s="172"/>
      <c r="FB126" s="172"/>
      <c r="FC126" s="172"/>
      <c r="FD126" s="172"/>
      <c r="FE126" s="172"/>
      <c r="FF126" s="172"/>
      <c r="FG126" s="172"/>
      <c r="FH126" s="172"/>
      <c r="FI126" s="172"/>
      <c r="FJ126" s="172"/>
      <c r="FK126" s="172"/>
      <c r="FL126" s="172"/>
      <c r="FM126" s="172"/>
      <c r="FN126" s="172"/>
      <c r="FO126" s="172"/>
      <c r="FP126" s="172"/>
      <c r="FQ126" s="172"/>
      <c r="FR126" s="172"/>
      <c r="FS126" s="172"/>
      <c r="FT126" s="172"/>
      <c r="FU126" s="172"/>
      <c r="FV126" s="172"/>
      <c r="FW126" s="172"/>
      <c r="FX126" s="172"/>
      <c r="FY126" s="172"/>
      <c r="FZ126" s="172"/>
      <c r="GA126" s="172"/>
      <c r="GB126" s="172"/>
      <c r="GC126" s="172"/>
      <c r="GD126" s="172"/>
      <c r="GE126" s="172"/>
      <c r="GF126" s="172"/>
      <c r="GG126" s="172"/>
      <c r="GH126" s="172"/>
      <c r="GI126" s="172"/>
      <c r="GJ126" s="172"/>
      <c r="GK126" s="172"/>
      <c r="GL126" s="172"/>
      <c r="GM126" s="172"/>
      <c r="GN126" s="172"/>
      <c r="GO126" s="172"/>
      <c r="GP126" s="172"/>
      <c r="GQ126" s="172"/>
      <c r="GR126" s="172"/>
      <c r="GS126" s="172"/>
      <c r="GT126" s="172"/>
      <c r="GU126" s="172"/>
      <c r="GV126" s="172"/>
      <c r="GW126" s="172"/>
      <c r="GX126" s="172"/>
      <c r="GY126" s="172"/>
      <c r="GZ126" s="172"/>
      <c r="HA126" s="172"/>
      <c r="HB126" s="172"/>
      <c r="HC126" s="172"/>
      <c r="HD126" s="172"/>
      <c r="HE126" s="172"/>
      <c r="HF126" s="172"/>
      <c r="HG126" s="172"/>
      <c r="HH126" s="172"/>
      <c r="HI126" s="172"/>
      <c r="HJ126" s="172"/>
      <c r="HK126" s="172"/>
      <c r="HL126" s="172"/>
      <c r="HM126" s="172"/>
      <c r="HN126" s="172"/>
      <c r="HO126" s="172"/>
      <c r="HP126" s="172"/>
      <c r="HQ126" s="172"/>
      <c r="HR126" s="172"/>
      <c r="HS126" s="172"/>
      <c r="HT126" s="172"/>
      <c r="HU126" s="172"/>
      <c r="HV126" s="172"/>
      <c r="HW126" s="172"/>
      <c r="HX126" s="172"/>
      <c r="HY126" s="172"/>
      <c r="HZ126" s="172"/>
      <c r="IA126" s="172"/>
      <c r="IB126" s="172"/>
      <c r="IC126" s="172"/>
      <c r="ID126" s="172"/>
      <c r="IE126" s="172"/>
      <c r="IF126" s="172"/>
      <c r="IG126" s="172"/>
      <c r="IH126" s="172"/>
      <c r="II126" s="172"/>
      <c r="IJ126" s="172"/>
      <c r="IK126" s="172"/>
      <c r="IL126" s="172"/>
      <c r="IM126" s="172"/>
      <c r="IN126" s="172"/>
      <c r="IO126" s="172"/>
      <c r="IP126" s="172"/>
      <c r="IQ126" s="172"/>
      <c r="IR126" s="172"/>
      <c r="IS126" s="172"/>
      <c r="IT126" s="172"/>
      <c r="IU126" s="172"/>
      <c r="IV126" s="172"/>
    </row>
  </sheetData>
  <mergeCells count="79">
    <mergeCell ref="B18:C18"/>
    <mergeCell ref="B34:C34"/>
    <mergeCell ref="C1:D1"/>
    <mergeCell ref="C2:D2"/>
    <mergeCell ref="C4:D4"/>
    <mergeCell ref="A5:D5"/>
    <mergeCell ref="A6:D6"/>
    <mergeCell ref="A7:D7"/>
    <mergeCell ref="B9:C9"/>
    <mergeCell ref="B10:C10"/>
    <mergeCell ref="A11:D11"/>
    <mergeCell ref="B27:C27"/>
    <mergeCell ref="B29:C29"/>
    <mergeCell ref="B20:C20"/>
    <mergeCell ref="B30:C30"/>
    <mergeCell ref="B31:C31"/>
    <mergeCell ref="B47:C47"/>
    <mergeCell ref="B35:C35"/>
    <mergeCell ref="B36:C36"/>
    <mergeCell ref="B37:C37"/>
    <mergeCell ref="B38:C38"/>
    <mergeCell ref="B39:C39"/>
    <mergeCell ref="B40:C40"/>
    <mergeCell ref="B41:C41"/>
    <mergeCell ref="B43:C43"/>
    <mergeCell ref="B44:C44"/>
    <mergeCell ref="B45:C45"/>
    <mergeCell ref="B46:C46"/>
    <mergeCell ref="B60:C60"/>
    <mergeCell ref="B48:C48"/>
    <mergeCell ref="B49:C49"/>
    <mergeCell ref="B50:C50"/>
    <mergeCell ref="B51:C51"/>
    <mergeCell ref="B52:C52"/>
    <mergeCell ref="B53:C53"/>
    <mergeCell ref="B54:C54"/>
    <mergeCell ref="B55:C55"/>
    <mergeCell ref="B56:C56"/>
    <mergeCell ref="B58:C58"/>
    <mergeCell ref="B59:C59"/>
    <mergeCell ref="B73:C73"/>
    <mergeCell ref="B62:C62"/>
    <mergeCell ref="B63:C63"/>
    <mergeCell ref="B64:C64"/>
    <mergeCell ref="B65:C65"/>
    <mergeCell ref="B66:C66"/>
    <mergeCell ref="B67:C67"/>
    <mergeCell ref="B68:C68"/>
    <mergeCell ref="B69:C69"/>
    <mergeCell ref="B70:C70"/>
    <mergeCell ref="B71:C71"/>
    <mergeCell ref="B72:C72"/>
    <mergeCell ref="B82:C82"/>
    <mergeCell ref="B83:C83"/>
    <mergeCell ref="B84:C84"/>
    <mergeCell ref="B85:C85"/>
    <mergeCell ref="B86:C86"/>
    <mergeCell ref="B76:C76"/>
    <mergeCell ref="B77:C77"/>
    <mergeCell ref="B78:C78"/>
    <mergeCell ref="B80:C80"/>
    <mergeCell ref="B81:C81"/>
    <mergeCell ref="B79:C79"/>
    <mergeCell ref="B25:C25"/>
    <mergeCell ref="A95:D95"/>
    <mergeCell ref="A110:D110"/>
    <mergeCell ref="A116:D116"/>
    <mergeCell ref="B88:C88"/>
    <mergeCell ref="B89:C89"/>
    <mergeCell ref="B90:C90"/>
    <mergeCell ref="B91:C91"/>
    <mergeCell ref="B93:C93"/>
    <mergeCell ref="B94:C94"/>
    <mergeCell ref="B96:C96"/>
    <mergeCell ref="B100:C100"/>
    <mergeCell ref="B101:C101"/>
    <mergeCell ref="B102:C102"/>
    <mergeCell ref="B87:C87"/>
    <mergeCell ref="B74:C74"/>
  </mergeCells>
  <pageMargins left="1.1811023622047245" right="0.39370078740157483" top="0.74803149606299213" bottom="0.74803149606299213" header="0.31496062992125984" footer="0.31496062992125984"/>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9"/>
  <sheetViews>
    <sheetView view="pageBreakPreview" topLeftCell="C1" zoomScale="80" zoomScaleNormal="100" zoomScaleSheetLayoutView="80" workbookViewId="0">
      <selection activeCell="F6" sqref="F6"/>
    </sheetView>
  </sheetViews>
  <sheetFormatPr defaultColWidth="9.109375" defaultRowHeight="13.8" x14ac:dyDescent="0.3"/>
  <cols>
    <col min="1" max="3" width="12" style="153" customWidth="1"/>
    <col min="4" max="4" width="40.6640625" style="153" customWidth="1"/>
    <col min="5" max="5" width="46.33203125" style="153" customWidth="1"/>
    <col min="6" max="6" width="12.88671875" style="153" customWidth="1"/>
    <col min="7" max="7" width="14.44140625" style="153" customWidth="1"/>
    <col min="8" max="8" width="16.33203125" style="153" customWidth="1"/>
    <col min="9" max="9" width="15.5546875" style="153" customWidth="1"/>
    <col min="10" max="10" width="13.6640625" style="153" customWidth="1"/>
    <col min="11" max="16384" width="9.109375" style="153"/>
  </cols>
  <sheetData>
    <row r="1" spans="1:10" ht="15" x14ac:dyDescent="0.3">
      <c r="A1" s="582"/>
      <c r="B1" s="582"/>
      <c r="C1" s="582"/>
      <c r="D1" s="582"/>
      <c r="E1" s="582"/>
      <c r="F1" s="582" t="s">
        <v>567</v>
      </c>
      <c r="G1" s="582"/>
      <c r="H1" s="582"/>
      <c r="I1" s="582"/>
      <c r="J1" s="582"/>
    </row>
    <row r="2" spans="1:10" ht="15" x14ac:dyDescent="0.3">
      <c r="A2" s="582"/>
      <c r="B2" s="582"/>
      <c r="C2" s="582"/>
      <c r="D2" s="582"/>
      <c r="E2" s="582"/>
      <c r="F2" s="583" t="s">
        <v>612</v>
      </c>
      <c r="G2" s="583"/>
      <c r="H2" s="583"/>
      <c r="I2" s="582"/>
      <c r="J2" s="582"/>
    </row>
    <row r="3" spans="1:10" ht="15" customHeight="1" x14ac:dyDescent="0.3">
      <c r="A3" s="582"/>
      <c r="B3" s="582"/>
      <c r="C3" s="582"/>
      <c r="D3" s="582"/>
      <c r="E3" s="582"/>
      <c r="F3" s="583" t="s">
        <v>1105</v>
      </c>
      <c r="G3" s="583"/>
      <c r="H3" s="583"/>
      <c r="I3" s="584"/>
      <c r="J3" s="582"/>
    </row>
    <row r="4" spans="1:10" ht="15" hidden="1" x14ac:dyDescent="0.3">
      <c r="A4" s="582"/>
      <c r="B4" s="582"/>
      <c r="C4" s="582"/>
      <c r="D4" s="582"/>
      <c r="E4" s="582"/>
      <c r="F4" s="583" t="s">
        <v>848</v>
      </c>
      <c r="G4" s="582"/>
      <c r="H4" s="584"/>
      <c r="I4" s="582"/>
      <c r="J4" s="582"/>
    </row>
    <row r="5" spans="1:10" ht="15" hidden="1" x14ac:dyDescent="0.3">
      <c r="A5" s="582"/>
      <c r="B5" s="582"/>
      <c r="C5" s="582"/>
      <c r="D5" s="582"/>
      <c r="E5" s="582"/>
      <c r="F5" s="582"/>
      <c r="G5" s="582"/>
      <c r="H5" s="584"/>
      <c r="I5" s="582"/>
      <c r="J5" s="582"/>
    </row>
    <row r="6" spans="1:10" ht="15" x14ac:dyDescent="0.3">
      <c r="A6" s="582"/>
      <c r="B6" s="582"/>
      <c r="C6" s="582"/>
      <c r="D6" s="582"/>
      <c r="E6" s="582"/>
      <c r="F6" s="582" t="s">
        <v>1461</v>
      </c>
      <c r="G6" s="582"/>
      <c r="H6" s="584"/>
      <c r="I6" s="582"/>
      <c r="J6" s="582"/>
    </row>
    <row r="7" spans="1:10" ht="15" x14ac:dyDescent="0.3">
      <c r="A7" s="1409" t="s">
        <v>587</v>
      </c>
      <c r="B7" s="1410"/>
      <c r="C7" s="1410"/>
      <c r="D7" s="1410"/>
      <c r="E7" s="1410"/>
      <c r="F7" s="1410"/>
      <c r="G7" s="1410"/>
      <c r="H7" s="1410"/>
      <c r="I7" s="1410"/>
      <c r="J7" s="1410"/>
    </row>
    <row r="8" spans="1:10" ht="15" x14ac:dyDescent="0.3">
      <c r="A8" s="1409" t="s">
        <v>1126</v>
      </c>
      <c r="B8" s="1410"/>
      <c r="C8" s="1410"/>
      <c r="D8" s="1410"/>
      <c r="E8" s="1410"/>
      <c r="F8" s="1410"/>
      <c r="G8" s="1410"/>
      <c r="H8" s="1410"/>
      <c r="I8" s="1410"/>
      <c r="J8" s="1410"/>
    </row>
    <row r="9" spans="1:10" ht="15.6" thickBot="1" x14ac:dyDescent="0.35">
      <c r="A9" s="585" t="s">
        <v>648</v>
      </c>
      <c r="B9" s="582"/>
      <c r="C9" s="582"/>
      <c r="D9" s="582"/>
      <c r="E9" s="582"/>
      <c r="F9" s="582"/>
      <c r="G9" s="582"/>
      <c r="H9" s="582"/>
      <c r="I9" s="582"/>
      <c r="J9" s="582"/>
    </row>
    <row r="10" spans="1:10" ht="135.6" thickBot="1" x14ac:dyDescent="0.35">
      <c r="A10" s="586" t="s">
        <v>251</v>
      </c>
      <c r="B10" s="581" t="s">
        <v>250</v>
      </c>
      <c r="C10" s="581" t="s">
        <v>249</v>
      </c>
      <c r="D10" s="581" t="s">
        <v>248</v>
      </c>
      <c r="E10" s="581" t="s">
        <v>588</v>
      </c>
      <c r="F10" s="581" t="s">
        <v>589</v>
      </c>
      <c r="G10" s="581" t="s">
        <v>590</v>
      </c>
      <c r="H10" s="581" t="s">
        <v>591</v>
      </c>
      <c r="I10" s="581" t="s">
        <v>1192</v>
      </c>
      <c r="J10" s="587" t="s">
        <v>1193</v>
      </c>
    </row>
    <row r="11" spans="1:10" ht="15.6" thickBot="1" x14ac:dyDescent="0.35">
      <c r="A11" s="588">
        <v>1</v>
      </c>
      <c r="B11" s="589">
        <v>2</v>
      </c>
      <c r="C11" s="589">
        <v>3</v>
      </c>
      <c r="D11" s="589">
        <v>4</v>
      </c>
      <c r="E11" s="589">
        <v>5</v>
      </c>
      <c r="F11" s="589">
        <v>6</v>
      </c>
      <c r="G11" s="589">
        <v>7</v>
      </c>
      <c r="H11" s="589">
        <v>8</v>
      </c>
      <c r="I11" s="589">
        <v>9</v>
      </c>
      <c r="J11" s="590">
        <v>10</v>
      </c>
    </row>
    <row r="12" spans="1:10" ht="30.6" thickBot="1" x14ac:dyDescent="0.35">
      <c r="A12" s="591" t="s">
        <v>435</v>
      </c>
      <c r="B12" s="592" t="s">
        <v>46</v>
      </c>
      <c r="C12" s="592" t="s">
        <v>46</v>
      </c>
      <c r="D12" s="592" t="s">
        <v>903</v>
      </c>
      <c r="E12" s="592"/>
      <c r="F12" s="592" t="s">
        <v>46</v>
      </c>
      <c r="G12" s="769">
        <f>G13</f>
        <v>20561372</v>
      </c>
      <c r="H12" s="770">
        <f>H13</f>
        <v>14041329.809999999</v>
      </c>
      <c r="I12" s="770">
        <f>I13</f>
        <v>133211</v>
      </c>
      <c r="J12" s="593"/>
    </row>
    <row r="13" spans="1:10" ht="30.6" thickBot="1" x14ac:dyDescent="0.35">
      <c r="A13" s="594" t="s">
        <v>437</v>
      </c>
      <c r="B13" s="595" t="s">
        <v>46</v>
      </c>
      <c r="C13" s="595" t="s">
        <v>46</v>
      </c>
      <c r="D13" s="595" t="s">
        <v>903</v>
      </c>
      <c r="E13" s="595"/>
      <c r="F13" s="595" t="s">
        <v>46</v>
      </c>
      <c r="G13" s="771">
        <f>G18+G14</f>
        <v>20561372</v>
      </c>
      <c r="H13" s="771">
        <f>H18+H14</f>
        <v>14041329.809999999</v>
      </c>
      <c r="I13" s="771">
        <f>I18+I14</f>
        <v>133211</v>
      </c>
      <c r="J13" s="596"/>
    </row>
    <row r="14" spans="1:10" ht="30" x14ac:dyDescent="0.3">
      <c r="A14" s="680" t="s">
        <v>691</v>
      </c>
      <c r="B14" s="600" t="s">
        <v>473</v>
      </c>
      <c r="C14" s="600" t="s">
        <v>21</v>
      </c>
      <c r="D14" s="599" t="s">
        <v>197</v>
      </c>
      <c r="E14" s="599"/>
      <c r="F14" s="600"/>
      <c r="G14" s="772">
        <f>G15+G16</f>
        <v>20561372</v>
      </c>
      <c r="H14" s="772">
        <f>H15+H16</f>
        <v>14041329.809999999</v>
      </c>
      <c r="I14" s="772">
        <f>I15+I16</f>
        <v>133211</v>
      </c>
      <c r="J14" s="601"/>
    </row>
    <row r="15" spans="1:10" ht="70.5" customHeight="1" x14ac:dyDescent="0.3">
      <c r="A15" s="602"/>
      <c r="B15" s="603"/>
      <c r="C15" s="603"/>
      <c r="D15" s="604" t="s">
        <v>428</v>
      </c>
      <c r="E15" s="604" t="s">
        <v>933</v>
      </c>
      <c r="F15" s="605" t="s">
        <v>1212</v>
      </c>
      <c r="G15" s="773">
        <v>5888556</v>
      </c>
      <c r="H15" s="606">
        <v>5050889.8</v>
      </c>
      <c r="I15" s="606">
        <v>34211</v>
      </c>
      <c r="J15" s="607">
        <v>100</v>
      </c>
    </row>
    <row r="16" spans="1:10" ht="75" x14ac:dyDescent="0.3">
      <c r="A16" s="731"/>
      <c r="B16" s="600"/>
      <c r="C16" s="734"/>
      <c r="D16" s="735"/>
      <c r="E16" s="598" t="s">
        <v>1224</v>
      </c>
      <c r="F16" s="605" t="s">
        <v>1125</v>
      </c>
      <c r="G16" s="774">
        <v>14672816</v>
      </c>
      <c r="H16" s="774">
        <f>1990440.01+5000000+2000000</f>
        <v>8990440.0099999998</v>
      </c>
      <c r="I16" s="732">
        <v>99000</v>
      </c>
      <c r="J16" s="733">
        <f>H16/G16*100</f>
        <v>61.272764614508901</v>
      </c>
    </row>
    <row r="17" spans="1:10" ht="90" hidden="1" x14ac:dyDescent="0.3">
      <c r="A17" s="731"/>
      <c r="B17" s="600"/>
      <c r="C17" s="1217"/>
      <c r="D17" s="1218"/>
      <c r="E17" s="598" t="s">
        <v>1288</v>
      </c>
      <c r="F17" s="1219">
        <v>2025</v>
      </c>
      <c r="G17" s="1220"/>
      <c r="H17" s="1220"/>
      <c r="I17" s="732"/>
      <c r="J17" s="733"/>
    </row>
    <row r="18" spans="1:10" ht="54" hidden="1" customHeight="1" x14ac:dyDescent="0.3">
      <c r="A18" s="680" t="s">
        <v>569</v>
      </c>
      <c r="B18" s="600" t="s">
        <v>194</v>
      </c>
      <c r="C18" s="600" t="s">
        <v>53</v>
      </c>
      <c r="D18" s="599" t="s">
        <v>904</v>
      </c>
      <c r="E18" s="599"/>
      <c r="F18" s="600"/>
      <c r="G18" s="772"/>
      <c r="H18" s="772">
        <f>H19</f>
        <v>0</v>
      </c>
      <c r="I18" s="772">
        <f>I19</f>
        <v>0</v>
      </c>
      <c r="J18" s="601"/>
    </row>
    <row r="19" spans="1:10" ht="61.95" hidden="1" customHeight="1" x14ac:dyDescent="0.3">
      <c r="A19" s="602"/>
      <c r="B19" s="603"/>
      <c r="C19" s="603"/>
      <c r="D19" s="604" t="s">
        <v>428</v>
      </c>
      <c r="E19" s="604" t="s">
        <v>910</v>
      </c>
      <c r="F19" s="605">
        <v>2024</v>
      </c>
      <c r="G19" s="775"/>
      <c r="H19" s="606">
        <f>552466-100000-41000-378400-33066</f>
        <v>0</v>
      </c>
      <c r="I19" s="606">
        <f>552466-100000-41000-378400-33066</f>
        <v>0</v>
      </c>
      <c r="J19" s="607"/>
    </row>
    <row r="20" spans="1:10" ht="15.6" thickBot="1" x14ac:dyDescent="0.35">
      <c r="A20" s="608"/>
      <c r="B20" s="609"/>
      <c r="C20" s="609"/>
      <c r="D20" s="609"/>
      <c r="E20" s="609"/>
      <c r="F20" s="609"/>
      <c r="G20" s="776"/>
      <c r="H20" s="776"/>
      <c r="I20" s="776"/>
      <c r="J20" s="610"/>
    </row>
    <row r="21" spans="1:10" ht="30" x14ac:dyDescent="0.3">
      <c r="A21" s="611" t="s">
        <v>164</v>
      </c>
      <c r="B21" s="612" t="s">
        <v>46</v>
      </c>
      <c r="C21" s="612" t="s">
        <v>46</v>
      </c>
      <c r="D21" s="613" t="s">
        <v>849</v>
      </c>
      <c r="E21" s="613"/>
      <c r="F21" s="612" t="s">
        <v>46</v>
      </c>
      <c r="G21" s="777"/>
      <c r="H21" s="777">
        <f>H22</f>
        <v>800000</v>
      </c>
      <c r="I21" s="777">
        <f>I22</f>
        <v>800000</v>
      </c>
      <c r="J21" s="614" t="s">
        <v>592</v>
      </c>
    </row>
    <row r="22" spans="1:10" ht="30.6" thickBot="1" x14ac:dyDescent="0.35">
      <c r="A22" s="615" t="s">
        <v>494</v>
      </c>
      <c r="B22" s="616" t="s">
        <v>46</v>
      </c>
      <c r="C22" s="616" t="s">
        <v>46</v>
      </c>
      <c r="D22" s="617" t="s">
        <v>849</v>
      </c>
      <c r="E22" s="617"/>
      <c r="F22" s="616" t="s">
        <v>46</v>
      </c>
      <c r="G22" s="778"/>
      <c r="H22" s="778">
        <f>H24+H23</f>
        <v>800000</v>
      </c>
      <c r="I22" s="778">
        <f>I24+I23</f>
        <v>800000</v>
      </c>
      <c r="J22" s="618" t="s">
        <v>592</v>
      </c>
    </row>
    <row r="23" spans="1:10" ht="120.6" thickBot="1" x14ac:dyDescent="0.35">
      <c r="A23" s="619" t="s">
        <v>1384</v>
      </c>
      <c r="B23" s="620" t="s">
        <v>1399</v>
      </c>
      <c r="C23" s="620" t="s">
        <v>126</v>
      </c>
      <c r="D23" s="621" t="s">
        <v>1400</v>
      </c>
      <c r="E23" s="621" t="s">
        <v>1401</v>
      </c>
      <c r="F23" s="620">
        <v>2025</v>
      </c>
      <c r="G23" s="779"/>
      <c r="H23" s="779">
        <v>800000</v>
      </c>
      <c r="I23" s="779">
        <v>800000</v>
      </c>
      <c r="J23" s="622"/>
    </row>
    <row r="24" spans="1:10" ht="159.75" hidden="1" customHeight="1" thickBot="1" x14ac:dyDescent="0.35">
      <c r="A24" s="124" t="s">
        <v>123</v>
      </c>
      <c r="B24" s="95" t="s">
        <v>122</v>
      </c>
      <c r="C24" s="95" t="s">
        <v>21</v>
      </c>
      <c r="D24" s="125" t="s">
        <v>121</v>
      </c>
      <c r="E24" s="624" t="s">
        <v>920</v>
      </c>
      <c r="F24" s="623">
        <v>2024</v>
      </c>
      <c r="G24" s="780"/>
      <c r="H24" s="780">
        <v>0</v>
      </c>
      <c r="I24" s="780"/>
      <c r="J24" s="625" t="s">
        <v>592</v>
      </c>
    </row>
    <row r="25" spans="1:10" ht="45" x14ac:dyDescent="0.3">
      <c r="A25" s="626" t="s">
        <v>119</v>
      </c>
      <c r="B25" s="627"/>
      <c r="C25" s="627"/>
      <c r="D25" s="628" t="s">
        <v>118</v>
      </c>
      <c r="E25" s="629"/>
      <c r="F25" s="630"/>
      <c r="G25" s="781">
        <f>G26</f>
        <v>77211926</v>
      </c>
      <c r="H25" s="781">
        <f>H26</f>
        <v>67780418.659999996</v>
      </c>
      <c r="I25" s="781">
        <f>I26</f>
        <v>64016660</v>
      </c>
      <c r="J25" s="631"/>
    </row>
    <row r="26" spans="1:10" ht="45.6" thickBot="1" x14ac:dyDescent="0.35">
      <c r="A26" s="632" t="s">
        <v>514</v>
      </c>
      <c r="B26" s="633"/>
      <c r="C26" s="633"/>
      <c r="D26" s="634" t="s">
        <v>118</v>
      </c>
      <c r="E26" s="635"/>
      <c r="F26" s="636"/>
      <c r="G26" s="782">
        <f>G29+G27</f>
        <v>77211926</v>
      </c>
      <c r="H26" s="782">
        <f>H29+H27</f>
        <v>67780418.659999996</v>
      </c>
      <c r="I26" s="782">
        <f>I29+I27</f>
        <v>64016660</v>
      </c>
      <c r="J26" s="637"/>
    </row>
    <row r="27" spans="1:10" ht="30.6" hidden="1" thickBot="1" x14ac:dyDescent="0.35">
      <c r="A27" s="638" t="s">
        <v>115</v>
      </c>
      <c r="B27" s="639" t="s">
        <v>114</v>
      </c>
      <c r="C27" s="639" t="s">
        <v>113</v>
      </c>
      <c r="D27" s="640" t="s">
        <v>112</v>
      </c>
      <c r="E27" s="641"/>
      <c r="F27" s="642"/>
      <c r="G27" s="783"/>
      <c r="H27" s="643"/>
      <c r="I27" s="644">
        <f>I28</f>
        <v>0</v>
      </c>
      <c r="J27" s="645"/>
    </row>
    <row r="28" spans="1:10" ht="75.599999999999994" hidden="1" thickBot="1" x14ac:dyDescent="0.35">
      <c r="A28" s="646"/>
      <c r="B28" s="647"/>
      <c r="C28" s="647"/>
      <c r="D28" s="648"/>
      <c r="E28" s="648" t="s">
        <v>909</v>
      </c>
      <c r="F28" s="647">
        <v>2024</v>
      </c>
      <c r="G28" s="784"/>
      <c r="H28" s="649"/>
      <c r="I28" s="649"/>
      <c r="J28" s="650"/>
    </row>
    <row r="29" spans="1:10" ht="30.6" thickBot="1" x14ac:dyDescent="0.35">
      <c r="A29" s="638" t="s">
        <v>726</v>
      </c>
      <c r="B29" s="639" t="s">
        <v>727</v>
      </c>
      <c r="C29" s="639" t="s">
        <v>53</v>
      </c>
      <c r="D29" s="651" t="s">
        <v>728</v>
      </c>
      <c r="E29" s="641"/>
      <c r="F29" s="642"/>
      <c r="G29" s="785">
        <f>G30+G32</f>
        <v>77211926</v>
      </c>
      <c r="H29" s="785">
        <f>H30+H32</f>
        <v>67780418.659999996</v>
      </c>
      <c r="I29" s="785">
        <f>I30+I32</f>
        <v>64016660</v>
      </c>
      <c r="J29" s="645"/>
    </row>
    <row r="30" spans="1:10" ht="113.25" customHeight="1" x14ac:dyDescent="0.3">
      <c r="A30" s="652"/>
      <c r="B30" s="597"/>
      <c r="C30" s="597"/>
      <c r="D30" s="598"/>
      <c r="E30" s="598" t="s">
        <v>905</v>
      </c>
      <c r="F30" s="597" t="s">
        <v>1213</v>
      </c>
      <c r="G30" s="653">
        <f>57876108+11575221</f>
        <v>69451329</v>
      </c>
      <c r="H30" s="653">
        <f>3763758.66+7000000+51887825+3468984</f>
        <v>66120567.659999996</v>
      </c>
      <c r="I30" s="1210">
        <f>7000000+3468984+51887825</f>
        <v>62356809</v>
      </c>
      <c r="J30" s="654">
        <f>H30/G30*100</f>
        <v>95.204179116572405</v>
      </c>
    </row>
    <row r="31" spans="1:10" ht="30" x14ac:dyDescent="0.3">
      <c r="A31" s="655"/>
      <c r="B31" s="656"/>
      <c r="C31" s="656"/>
      <c r="D31" s="604" t="s">
        <v>49</v>
      </c>
      <c r="E31" s="604"/>
      <c r="F31" s="656"/>
      <c r="G31" s="657">
        <v>57876108</v>
      </c>
      <c r="H31" s="657">
        <f>2989353.83+51887825</f>
        <v>54877178.829999998</v>
      </c>
      <c r="I31" s="657">
        <v>51887825</v>
      </c>
      <c r="J31" s="658"/>
    </row>
    <row r="32" spans="1:10" ht="90" x14ac:dyDescent="0.3">
      <c r="A32" s="659"/>
      <c r="B32" s="660"/>
      <c r="C32" s="660"/>
      <c r="D32" s="661"/>
      <c r="E32" s="604" t="s">
        <v>1321</v>
      </c>
      <c r="F32" s="656">
        <v>2025</v>
      </c>
      <c r="G32" s="786">
        <v>7760597</v>
      </c>
      <c r="H32" s="657">
        <v>1659851</v>
      </c>
      <c r="I32" s="657">
        <v>1659851</v>
      </c>
      <c r="J32" s="654">
        <f>H32/G32*100</f>
        <v>21.388187017055518</v>
      </c>
    </row>
    <row r="33" spans="1:10" ht="15" x14ac:dyDescent="0.3">
      <c r="A33" s="646"/>
      <c r="B33" s="647"/>
      <c r="C33" s="647"/>
      <c r="D33" s="648"/>
      <c r="E33" s="648"/>
      <c r="F33" s="647"/>
      <c r="G33" s="784"/>
      <c r="H33" s="649"/>
      <c r="I33" s="649"/>
      <c r="J33" s="650"/>
    </row>
    <row r="34" spans="1:10" ht="15.6" thickBot="1" x14ac:dyDescent="0.35">
      <c r="A34" s="662"/>
      <c r="B34" s="663"/>
      <c r="C34" s="663"/>
      <c r="D34" s="664"/>
      <c r="E34" s="664"/>
      <c r="F34" s="663"/>
      <c r="G34" s="787"/>
      <c r="H34" s="787"/>
      <c r="I34" s="787"/>
      <c r="J34" s="665"/>
    </row>
    <row r="35" spans="1:10" ht="15.6" thickBot="1" x14ac:dyDescent="0.35">
      <c r="A35" s="666" t="s">
        <v>2</v>
      </c>
      <c r="B35" s="667" t="s">
        <v>2</v>
      </c>
      <c r="C35" s="667" t="s">
        <v>2</v>
      </c>
      <c r="D35" s="667" t="s">
        <v>246</v>
      </c>
      <c r="E35" s="667" t="s">
        <v>2</v>
      </c>
      <c r="F35" s="667" t="s">
        <v>2</v>
      </c>
      <c r="G35" s="788">
        <f>G13+G21+G25</f>
        <v>97773298</v>
      </c>
      <c r="H35" s="788">
        <f>H13+H21+H25</f>
        <v>82621748.469999999</v>
      </c>
      <c r="I35" s="788">
        <f>I13+I21+I25</f>
        <v>64949871</v>
      </c>
      <c r="J35" s="668" t="s">
        <v>2</v>
      </c>
    </row>
    <row r="36" spans="1:10" ht="15" x14ac:dyDescent="0.3">
      <c r="A36" s="582"/>
      <c r="B36" s="582"/>
      <c r="C36" s="582"/>
      <c r="D36" s="582"/>
      <c r="E36" s="582"/>
      <c r="F36" s="582"/>
      <c r="G36" s="582"/>
      <c r="H36" s="582"/>
      <c r="I36" s="582"/>
      <c r="J36" s="582"/>
    </row>
    <row r="37" spans="1:10" ht="15" x14ac:dyDescent="0.3">
      <c r="A37" s="582"/>
      <c r="B37" s="582"/>
      <c r="C37" s="582"/>
      <c r="D37" s="582"/>
      <c r="E37" s="582"/>
      <c r="F37" s="582"/>
      <c r="G37" s="582"/>
      <c r="H37" s="582"/>
      <c r="I37" s="582"/>
      <c r="J37" s="582"/>
    </row>
    <row r="38" spans="1:10" ht="15" x14ac:dyDescent="0.3">
      <c r="A38" s="1411"/>
      <c r="B38" s="1411"/>
      <c r="C38" s="1411"/>
      <c r="D38" s="1411"/>
      <c r="E38" s="1411"/>
      <c r="F38" s="1411"/>
      <c r="G38" s="1411"/>
      <c r="H38" s="1411"/>
      <c r="I38" s="1411"/>
      <c r="J38" s="1411"/>
    </row>
    <row r="39" spans="1:10" ht="15" x14ac:dyDescent="0.3">
      <c r="A39" s="669" t="s">
        <v>1</v>
      </c>
      <c r="B39" s="670"/>
      <c r="C39" s="670"/>
      <c r="D39" s="670"/>
      <c r="E39" s="671" t="s">
        <v>650</v>
      </c>
      <c r="F39" s="670"/>
      <c r="G39" s="670"/>
      <c r="H39" s="670"/>
      <c r="I39" s="670"/>
      <c r="J39" s="670"/>
    </row>
  </sheetData>
  <mergeCells count="3">
    <mergeCell ref="A7:J7"/>
    <mergeCell ref="A8:J8"/>
    <mergeCell ref="A38:J38"/>
  </mergeCells>
  <pageMargins left="0.39370078740157483" right="0.39370078740157483" top="1.1811023622047245" bottom="0.39370078740157483" header="0" footer="0"/>
  <pageSetup paperSize="9" scale="71" fitToHeight="500" orientation="landscape" horizontalDpi="360" verticalDpi="36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92"/>
  <sheetViews>
    <sheetView zoomScale="80" zoomScaleNormal="80" zoomScaleSheetLayoutView="75" zoomScalePageLayoutView="80" workbookViewId="0">
      <selection activeCell="F4" sqref="F4"/>
    </sheetView>
  </sheetViews>
  <sheetFormatPr defaultRowHeight="14.4" x14ac:dyDescent="0.3"/>
  <cols>
    <col min="1" max="1" width="8" customWidth="1"/>
    <col min="2" max="2" width="6.88671875" customWidth="1"/>
    <col min="3" max="3" width="6.33203125" customWidth="1"/>
    <col min="4" max="4" width="45.33203125" customWidth="1"/>
    <col min="5" max="5" width="57.33203125" customWidth="1"/>
    <col min="6" max="6" width="25.88671875" customWidth="1"/>
    <col min="7" max="8" width="13.44140625" customWidth="1"/>
    <col min="9" max="9" width="12.6640625" customWidth="1"/>
    <col min="10" max="10" width="12.33203125" customWidth="1"/>
    <col min="11" max="11" width="13" hidden="1" customWidth="1"/>
    <col min="12" max="12" width="11.88671875" hidden="1" customWidth="1"/>
    <col min="13" max="13" width="12" hidden="1" customWidth="1"/>
    <col min="14" max="14" width="10.88671875" hidden="1" customWidth="1"/>
    <col min="15" max="15" width="13.6640625" hidden="1" customWidth="1"/>
    <col min="16" max="16" width="12.109375" hidden="1" customWidth="1"/>
    <col min="17" max="21" width="9.109375" hidden="1" customWidth="1"/>
    <col min="22" max="22" width="12.6640625" hidden="1" customWidth="1"/>
    <col min="23" max="25" width="9.109375" hidden="1" customWidth="1"/>
    <col min="26" max="26" width="8.88671875" hidden="1" customWidth="1"/>
    <col min="27" max="27" width="17.33203125" hidden="1" customWidth="1"/>
  </cols>
  <sheetData>
    <row r="1" spans="1:27" ht="15.6" x14ac:dyDescent="0.3">
      <c r="A1" s="859"/>
      <c r="B1" s="859"/>
      <c r="C1" s="859"/>
      <c r="D1" s="859"/>
      <c r="E1" s="859"/>
      <c r="F1" s="860" t="s">
        <v>253</v>
      </c>
      <c r="G1" s="860"/>
      <c r="H1" s="859"/>
      <c r="I1" s="859"/>
      <c r="J1" s="859"/>
    </row>
    <row r="2" spans="1:27" ht="13.8" customHeight="1" x14ac:dyDescent="0.3">
      <c r="A2" s="859"/>
      <c r="B2" s="859"/>
      <c r="C2" s="859"/>
      <c r="D2" s="859"/>
      <c r="E2" s="859"/>
      <c r="F2" s="193" t="s">
        <v>612</v>
      </c>
      <c r="G2" s="193"/>
      <c r="H2" s="193"/>
      <c r="I2" s="193"/>
      <c r="J2" s="193"/>
    </row>
    <row r="3" spans="1:27" ht="15.6" x14ac:dyDescent="0.3">
      <c r="A3" s="859"/>
      <c r="B3" s="859"/>
      <c r="C3" s="859"/>
      <c r="D3" s="859"/>
      <c r="E3" s="859"/>
      <c r="F3" s="193" t="s">
        <v>1105</v>
      </c>
      <c r="G3" s="193"/>
      <c r="H3" s="193"/>
      <c r="I3" s="193"/>
      <c r="J3" s="193"/>
    </row>
    <row r="4" spans="1:27" ht="15.6" x14ac:dyDescent="0.3">
      <c r="A4" s="859"/>
      <c r="B4" s="859"/>
      <c r="C4" s="859"/>
      <c r="D4" s="859"/>
      <c r="E4" s="859"/>
      <c r="F4" s="193" t="s">
        <v>1460</v>
      </c>
      <c r="G4" s="193"/>
      <c r="H4" s="193"/>
      <c r="I4" s="193"/>
      <c r="J4" s="193"/>
    </row>
    <row r="5" spans="1:27" ht="12.75" customHeight="1" x14ac:dyDescent="0.3">
      <c r="A5" s="1414" t="s">
        <v>1096</v>
      </c>
      <c r="B5" s="1415"/>
      <c r="C5" s="1415"/>
      <c r="D5" s="1415"/>
      <c r="E5" s="1415"/>
      <c r="F5" s="1415"/>
      <c r="G5" s="1415"/>
      <c r="H5" s="1415"/>
      <c r="I5" s="1415"/>
      <c r="J5" s="1415"/>
    </row>
    <row r="6" spans="1:27" x14ac:dyDescent="0.3">
      <c r="A6" s="861" t="s">
        <v>648</v>
      </c>
      <c r="B6" s="859"/>
      <c r="C6" s="859"/>
      <c r="D6" s="859"/>
      <c r="E6" s="859"/>
      <c r="F6" s="859"/>
      <c r="G6" s="859"/>
      <c r="H6" s="859"/>
      <c r="I6" s="859"/>
      <c r="J6" s="859"/>
    </row>
    <row r="7" spans="1:27" ht="15" thickBot="1" x14ac:dyDescent="0.35">
      <c r="A7" s="859" t="s">
        <v>252</v>
      </c>
      <c r="B7" s="859"/>
      <c r="C7" s="859"/>
      <c r="D7" s="859"/>
      <c r="E7" s="859"/>
      <c r="F7" s="859"/>
      <c r="G7" s="859"/>
      <c r="H7" s="859"/>
      <c r="I7" s="859"/>
      <c r="J7" s="862" t="s">
        <v>647</v>
      </c>
    </row>
    <row r="8" spans="1:27" ht="12.75" customHeight="1" x14ac:dyDescent="0.3">
      <c r="A8" s="1416" t="s">
        <v>251</v>
      </c>
      <c r="B8" s="1418" t="s">
        <v>250</v>
      </c>
      <c r="C8" s="1418" t="s">
        <v>249</v>
      </c>
      <c r="D8" s="1420" t="s">
        <v>248</v>
      </c>
      <c r="E8" s="1420" t="s">
        <v>247</v>
      </c>
      <c r="F8" s="1418" t="s">
        <v>1406</v>
      </c>
      <c r="G8" s="1412" t="s">
        <v>246</v>
      </c>
      <c r="H8" s="1412" t="s">
        <v>245</v>
      </c>
      <c r="I8" s="1412" t="s">
        <v>244</v>
      </c>
      <c r="J8" s="1413"/>
    </row>
    <row r="9" spans="1:27" ht="110.4" customHeight="1" x14ac:dyDescent="0.3">
      <c r="A9" s="1417"/>
      <c r="B9" s="1419"/>
      <c r="C9" s="1419"/>
      <c r="D9" s="1419"/>
      <c r="E9" s="1419"/>
      <c r="F9" s="1419"/>
      <c r="G9" s="1421"/>
      <c r="H9" s="1421"/>
      <c r="I9" s="1233" t="s">
        <v>243</v>
      </c>
      <c r="J9" s="863" t="s">
        <v>242</v>
      </c>
    </row>
    <row r="10" spans="1:27" ht="15" thickBot="1" x14ac:dyDescent="0.35">
      <c r="A10" s="864">
        <v>1</v>
      </c>
      <c r="B10" s="865">
        <v>2</v>
      </c>
      <c r="C10" s="865">
        <v>3</v>
      </c>
      <c r="D10" s="865">
        <v>4</v>
      </c>
      <c r="E10" s="865">
        <v>5</v>
      </c>
      <c r="F10" s="865">
        <v>6</v>
      </c>
      <c r="G10" s="866">
        <v>7</v>
      </c>
      <c r="H10" s="866">
        <v>8</v>
      </c>
      <c r="I10" s="866">
        <v>9</v>
      </c>
      <c r="J10" s="867">
        <v>10</v>
      </c>
    </row>
    <row r="11" spans="1:27" s="216" customFormat="1" x14ac:dyDescent="0.3">
      <c r="A11" s="868" t="s">
        <v>435</v>
      </c>
      <c r="B11" s="869" t="s">
        <v>46</v>
      </c>
      <c r="C11" s="869" t="s">
        <v>46</v>
      </c>
      <c r="D11" s="869" t="s">
        <v>241</v>
      </c>
      <c r="E11" s="869" t="s">
        <v>46</v>
      </c>
      <c r="F11" s="869" t="s">
        <v>46</v>
      </c>
      <c r="G11" s="870">
        <f>G12</f>
        <v>19220593.98</v>
      </c>
      <c r="H11" s="870">
        <f>H12</f>
        <v>16727401</v>
      </c>
      <c r="I11" s="870">
        <f>I12</f>
        <v>2493192.98</v>
      </c>
      <c r="J11" s="871">
        <f>J12</f>
        <v>2195210</v>
      </c>
    </row>
    <row r="12" spans="1:27" s="216" customFormat="1" ht="15" thickBot="1" x14ac:dyDescent="0.35">
      <c r="A12" s="872" t="s">
        <v>437</v>
      </c>
      <c r="B12" s="873" t="s">
        <v>46</v>
      </c>
      <c r="C12" s="873" t="s">
        <v>46</v>
      </c>
      <c r="D12" s="873" t="s">
        <v>241</v>
      </c>
      <c r="E12" s="873"/>
      <c r="F12" s="873"/>
      <c r="G12" s="874">
        <f>SUM(G13:G72)-G57-G14-G34</f>
        <v>19220593.98</v>
      </c>
      <c r="H12" s="874">
        <f>SUM(H13:H72)-H57-H14-H34</f>
        <v>16727401</v>
      </c>
      <c r="I12" s="874">
        <f>SUM(I13:I72)-I57-I14-I34</f>
        <v>2493192.98</v>
      </c>
      <c r="J12" s="875">
        <f>SUM(J13:J72)-J57-J14-J34</f>
        <v>2195210</v>
      </c>
      <c r="AA12" s="677"/>
    </row>
    <row r="13" spans="1:27" s="216" customFormat="1" ht="53.25" customHeight="1" x14ac:dyDescent="0.3">
      <c r="A13" s="876" t="s">
        <v>440</v>
      </c>
      <c r="B13" s="877" t="s">
        <v>240</v>
      </c>
      <c r="C13" s="878" t="s">
        <v>43</v>
      </c>
      <c r="D13" s="878" t="s">
        <v>239</v>
      </c>
      <c r="E13" s="879" t="s">
        <v>1097</v>
      </c>
      <c r="F13" s="879" t="s">
        <v>1098</v>
      </c>
      <c r="G13" s="880">
        <f t="shared" ref="G13:G69" si="0">H13+I13</f>
        <v>363543</v>
      </c>
      <c r="H13" s="881">
        <f>164543+119000+60000</f>
        <v>343543</v>
      </c>
      <c r="I13" s="882">
        <v>20000</v>
      </c>
      <c r="J13" s="894">
        <v>20000</v>
      </c>
    </row>
    <row r="14" spans="1:27" s="216" customFormat="1" x14ac:dyDescent="0.3">
      <c r="A14" s="883"/>
      <c r="B14" s="884"/>
      <c r="C14" s="879"/>
      <c r="D14" s="879" t="s">
        <v>201</v>
      </c>
      <c r="E14" s="885"/>
      <c r="F14" s="879"/>
      <c r="G14" s="886">
        <f t="shared" si="0"/>
        <v>164543</v>
      </c>
      <c r="H14" s="881">
        <v>164543</v>
      </c>
      <c r="I14" s="882"/>
      <c r="J14" s="887"/>
    </row>
    <row r="15" spans="1:27" s="216" customFormat="1" ht="30.75" customHeight="1" x14ac:dyDescent="0.3">
      <c r="A15" s="888" t="s">
        <v>443</v>
      </c>
      <c r="B15" s="884" t="s">
        <v>7</v>
      </c>
      <c r="C15" s="879" t="s">
        <v>236</v>
      </c>
      <c r="D15" s="879" t="s">
        <v>235</v>
      </c>
      <c r="E15" s="879" t="s">
        <v>1097</v>
      </c>
      <c r="F15" s="879" t="s">
        <v>1098</v>
      </c>
      <c r="G15" s="886">
        <f t="shared" si="0"/>
        <v>263400</v>
      </c>
      <c r="H15" s="882">
        <v>263400</v>
      </c>
      <c r="I15" s="882">
        <v>0</v>
      </c>
      <c r="J15" s="887">
        <v>0</v>
      </c>
    </row>
    <row r="16" spans="1:27" s="216" customFormat="1" ht="42" hidden="1" customHeight="1" x14ac:dyDescent="0.3">
      <c r="A16" s="888" t="s">
        <v>443</v>
      </c>
      <c r="B16" s="884" t="s">
        <v>7</v>
      </c>
      <c r="C16" s="879" t="s">
        <v>236</v>
      </c>
      <c r="D16" s="879" t="s">
        <v>235</v>
      </c>
      <c r="E16" s="879" t="s">
        <v>238</v>
      </c>
      <c r="F16" s="879" t="s">
        <v>237</v>
      </c>
      <c r="G16" s="886">
        <f t="shared" si="0"/>
        <v>0</v>
      </c>
      <c r="H16" s="882"/>
      <c r="I16" s="882"/>
      <c r="J16" s="887"/>
    </row>
    <row r="17" spans="1:10" s="216" customFormat="1" ht="39.6" x14ac:dyDescent="0.3">
      <c r="A17" s="888" t="s">
        <v>443</v>
      </c>
      <c r="B17" s="884" t="s">
        <v>7</v>
      </c>
      <c r="C17" s="879" t="s">
        <v>236</v>
      </c>
      <c r="D17" s="879" t="s">
        <v>235</v>
      </c>
      <c r="E17" s="879" t="s">
        <v>211</v>
      </c>
      <c r="F17" s="879" t="s">
        <v>120</v>
      </c>
      <c r="G17" s="886">
        <f t="shared" si="0"/>
        <v>158132</v>
      </c>
      <c r="H17" s="882">
        <f>200000-175868+2400</f>
        <v>26532</v>
      </c>
      <c r="I17" s="882">
        <f>134000-2400</f>
        <v>131600</v>
      </c>
      <c r="J17" s="882">
        <f>134000-2400</f>
        <v>131600</v>
      </c>
    </row>
    <row r="18" spans="1:10" s="216" customFormat="1" ht="53.25" hidden="1" customHeight="1" x14ac:dyDescent="0.3">
      <c r="A18" s="883" t="s">
        <v>234</v>
      </c>
      <c r="B18" s="889" t="s">
        <v>96</v>
      </c>
      <c r="C18" s="885" t="s">
        <v>95</v>
      </c>
      <c r="D18" s="885" t="s">
        <v>94</v>
      </c>
      <c r="E18" s="885" t="s">
        <v>61</v>
      </c>
      <c r="F18" s="885" t="s">
        <v>60</v>
      </c>
      <c r="G18" s="886">
        <f t="shared" si="0"/>
        <v>0</v>
      </c>
      <c r="H18" s="882"/>
      <c r="I18" s="882">
        <v>0</v>
      </c>
      <c r="J18" s="887">
        <v>0</v>
      </c>
    </row>
    <row r="19" spans="1:10" s="216" customFormat="1" ht="56.25" hidden="1" customHeight="1" x14ac:dyDescent="0.3">
      <c r="A19" s="883" t="s">
        <v>233</v>
      </c>
      <c r="B19" s="889" t="s">
        <v>91</v>
      </c>
      <c r="C19" s="885" t="s">
        <v>90</v>
      </c>
      <c r="D19" s="885" t="s">
        <v>89</v>
      </c>
      <c r="E19" s="885" t="s">
        <v>61</v>
      </c>
      <c r="F19" s="885" t="s">
        <v>60</v>
      </c>
      <c r="G19" s="886">
        <f t="shared" si="0"/>
        <v>0</v>
      </c>
      <c r="H19" s="882"/>
      <c r="I19" s="882">
        <f>60000-60000</f>
        <v>0</v>
      </c>
      <c r="J19" s="887">
        <v>0</v>
      </c>
    </row>
    <row r="20" spans="1:10" s="216" customFormat="1" ht="34.5" customHeight="1" x14ac:dyDescent="0.3">
      <c r="A20" s="888" t="s">
        <v>451</v>
      </c>
      <c r="B20" s="884" t="s">
        <v>232</v>
      </c>
      <c r="C20" s="879" t="s">
        <v>85</v>
      </c>
      <c r="D20" s="879" t="s">
        <v>231</v>
      </c>
      <c r="E20" s="890" t="s">
        <v>1099</v>
      </c>
      <c r="F20" s="890" t="s">
        <v>1100</v>
      </c>
      <c r="G20" s="886">
        <f t="shared" si="0"/>
        <v>20000</v>
      </c>
      <c r="H20" s="882">
        <v>20000</v>
      </c>
      <c r="I20" s="882">
        <v>0</v>
      </c>
      <c r="J20" s="887">
        <v>0</v>
      </c>
    </row>
    <row r="21" spans="1:10" s="216" customFormat="1" ht="39.75" customHeight="1" x14ac:dyDescent="0.3">
      <c r="A21" s="888" t="s">
        <v>451</v>
      </c>
      <c r="B21" s="884" t="s">
        <v>232</v>
      </c>
      <c r="C21" s="879" t="s">
        <v>85</v>
      </c>
      <c r="D21" s="879" t="s">
        <v>231</v>
      </c>
      <c r="E21" s="879" t="s">
        <v>610</v>
      </c>
      <c r="F21" s="879" t="s">
        <v>651</v>
      </c>
      <c r="G21" s="886">
        <f t="shared" si="0"/>
        <v>18000</v>
      </c>
      <c r="H21" s="882">
        <v>18000</v>
      </c>
      <c r="I21" s="882">
        <v>0</v>
      </c>
      <c r="J21" s="887">
        <v>0</v>
      </c>
    </row>
    <row r="22" spans="1:10" s="216" customFormat="1" ht="46.8" x14ac:dyDescent="0.3">
      <c r="A22" s="888" t="s">
        <v>455</v>
      </c>
      <c r="B22" s="884" t="s">
        <v>230</v>
      </c>
      <c r="C22" s="879" t="s">
        <v>85</v>
      </c>
      <c r="D22" s="307" t="s">
        <v>1173</v>
      </c>
      <c r="E22" s="879" t="s">
        <v>610</v>
      </c>
      <c r="F22" s="879" t="s">
        <v>651</v>
      </c>
      <c r="G22" s="886">
        <f t="shared" si="0"/>
        <v>30000</v>
      </c>
      <c r="H22" s="882">
        <f>10000+20000</f>
        <v>30000</v>
      </c>
      <c r="I22" s="882">
        <v>0</v>
      </c>
      <c r="J22" s="887">
        <v>0</v>
      </c>
    </row>
    <row r="23" spans="1:10" s="216" customFormat="1" ht="52.8" hidden="1" x14ac:dyDescent="0.3">
      <c r="A23" s="891" t="s">
        <v>228</v>
      </c>
      <c r="B23" s="889" t="s">
        <v>86</v>
      </c>
      <c r="C23" s="885" t="s">
        <v>85</v>
      </c>
      <c r="D23" s="885" t="s">
        <v>84</v>
      </c>
      <c r="E23" s="885" t="s">
        <v>83</v>
      </c>
      <c r="F23" s="885" t="s">
        <v>82</v>
      </c>
      <c r="G23" s="886">
        <f t="shared" si="0"/>
        <v>0</v>
      </c>
      <c r="H23" s="882"/>
      <c r="I23" s="882">
        <v>0</v>
      </c>
      <c r="J23" s="887">
        <v>0</v>
      </c>
    </row>
    <row r="24" spans="1:10" s="216" customFormat="1" ht="80.25" hidden="1" customHeight="1" x14ac:dyDescent="0.3">
      <c r="A24" s="891" t="s">
        <v>227</v>
      </c>
      <c r="B24" s="889" t="s">
        <v>79</v>
      </c>
      <c r="C24" s="885" t="s">
        <v>78</v>
      </c>
      <c r="D24" s="885" t="s">
        <v>77</v>
      </c>
      <c r="E24" s="885" t="s">
        <v>61</v>
      </c>
      <c r="F24" s="885" t="s">
        <v>60</v>
      </c>
      <c r="G24" s="886">
        <f t="shared" si="0"/>
        <v>0</v>
      </c>
      <c r="H24" s="882"/>
      <c r="I24" s="882">
        <v>0</v>
      </c>
      <c r="J24" s="887">
        <v>0</v>
      </c>
    </row>
    <row r="25" spans="1:10" s="216" customFormat="1" ht="54" hidden="1" customHeight="1" x14ac:dyDescent="0.3">
      <c r="A25" s="891" t="s">
        <v>226</v>
      </c>
      <c r="B25" s="889" t="s">
        <v>75</v>
      </c>
      <c r="C25" s="885" t="s">
        <v>74</v>
      </c>
      <c r="D25" s="885" t="s">
        <v>73</v>
      </c>
      <c r="E25" s="885" t="s">
        <v>61</v>
      </c>
      <c r="F25" s="885" t="s">
        <v>60</v>
      </c>
      <c r="G25" s="886">
        <f t="shared" si="0"/>
        <v>0</v>
      </c>
      <c r="H25" s="882"/>
      <c r="I25" s="882">
        <v>0</v>
      </c>
      <c r="J25" s="887">
        <v>0</v>
      </c>
    </row>
    <row r="26" spans="1:10" s="216" customFormat="1" ht="43.5" customHeight="1" x14ac:dyDescent="0.3">
      <c r="A26" s="888" t="s">
        <v>457</v>
      </c>
      <c r="B26" s="884" t="s">
        <v>70</v>
      </c>
      <c r="C26" s="879" t="s">
        <v>69</v>
      </c>
      <c r="D26" s="879" t="s">
        <v>68</v>
      </c>
      <c r="E26" s="879" t="s">
        <v>642</v>
      </c>
      <c r="F26" s="879" t="s">
        <v>1159</v>
      </c>
      <c r="G26" s="886">
        <f t="shared" si="0"/>
        <v>650000</v>
      </c>
      <c r="H26" s="882">
        <v>650000</v>
      </c>
      <c r="I26" s="882">
        <v>0</v>
      </c>
      <c r="J26" s="887">
        <v>0</v>
      </c>
    </row>
    <row r="27" spans="1:10" s="216" customFormat="1" ht="83.25" hidden="1" customHeight="1" x14ac:dyDescent="0.3">
      <c r="A27" s="888" t="s">
        <v>225</v>
      </c>
      <c r="B27" s="884" t="s">
        <v>64</v>
      </c>
      <c r="C27" s="879" t="s">
        <v>63</v>
      </c>
      <c r="D27" s="879" t="s">
        <v>62</v>
      </c>
      <c r="E27" s="879" t="s">
        <v>67</v>
      </c>
      <c r="F27" s="879" t="s">
        <v>66</v>
      </c>
      <c r="G27" s="886">
        <f t="shared" si="0"/>
        <v>0</v>
      </c>
      <c r="H27" s="882"/>
      <c r="I27" s="882">
        <v>0</v>
      </c>
      <c r="J27" s="887">
        <v>0</v>
      </c>
    </row>
    <row r="28" spans="1:10" s="216" customFormat="1" ht="51" hidden="1" customHeight="1" x14ac:dyDescent="0.3">
      <c r="A28" s="888" t="s">
        <v>225</v>
      </c>
      <c r="B28" s="884" t="s">
        <v>64</v>
      </c>
      <c r="C28" s="879" t="s">
        <v>63</v>
      </c>
      <c r="D28" s="879" t="s">
        <v>62</v>
      </c>
      <c r="E28" s="879" t="s">
        <v>11</v>
      </c>
      <c r="F28" s="879" t="s">
        <v>120</v>
      </c>
      <c r="G28" s="886">
        <f t="shared" si="0"/>
        <v>0</v>
      </c>
      <c r="H28" s="882"/>
      <c r="I28" s="882">
        <v>0</v>
      </c>
      <c r="J28" s="887">
        <v>0</v>
      </c>
    </row>
    <row r="29" spans="1:10" s="216" customFormat="1" ht="39.6" hidden="1" x14ac:dyDescent="0.3">
      <c r="A29" s="888" t="s">
        <v>225</v>
      </c>
      <c r="B29" s="884" t="s">
        <v>64</v>
      </c>
      <c r="C29" s="879" t="s">
        <v>63</v>
      </c>
      <c r="D29" s="879" t="s">
        <v>62</v>
      </c>
      <c r="E29" s="879" t="s">
        <v>61</v>
      </c>
      <c r="F29" s="879" t="s">
        <v>60</v>
      </c>
      <c r="G29" s="886">
        <f t="shared" si="0"/>
        <v>0</v>
      </c>
      <c r="H29" s="882"/>
      <c r="I29" s="882">
        <v>0</v>
      </c>
      <c r="J29" s="887">
        <v>0</v>
      </c>
    </row>
    <row r="30" spans="1:10" s="216" customFormat="1" ht="41.25" customHeight="1" x14ac:dyDescent="0.3">
      <c r="A30" s="888" t="s">
        <v>461</v>
      </c>
      <c r="B30" s="884" t="s">
        <v>224</v>
      </c>
      <c r="C30" s="879" t="s">
        <v>218</v>
      </c>
      <c r="D30" s="879" t="s">
        <v>223</v>
      </c>
      <c r="E30" s="879" t="s">
        <v>222</v>
      </c>
      <c r="F30" s="879" t="s">
        <v>221</v>
      </c>
      <c r="G30" s="886">
        <f t="shared" si="0"/>
        <v>571000</v>
      </c>
      <c r="H30" s="882">
        <f>382921+168079+20000</f>
        <v>571000</v>
      </c>
      <c r="I30" s="882">
        <v>0</v>
      </c>
      <c r="J30" s="887">
        <v>0</v>
      </c>
    </row>
    <row r="31" spans="1:10" s="216" customFormat="1" ht="40.5" customHeight="1" x14ac:dyDescent="0.3">
      <c r="A31" s="888" t="s">
        <v>462</v>
      </c>
      <c r="B31" s="884" t="s">
        <v>219</v>
      </c>
      <c r="C31" s="879" t="s">
        <v>218</v>
      </c>
      <c r="D31" s="879" t="s">
        <v>1174</v>
      </c>
      <c r="E31" s="879" t="s">
        <v>222</v>
      </c>
      <c r="F31" s="879" t="s">
        <v>221</v>
      </c>
      <c r="G31" s="886">
        <f t="shared" si="0"/>
        <v>650046</v>
      </c>
      <c r="H31" s="882">
        <f>329870+320176</f>
        <v>650046</v>
      </c>
      <c r="I31" s="882">
        <v>0</v>
      </c>
      <c r="J31" s="887">
        <v>0</v>
      </c>
    </row>
    <row r="32" spans="1:10" s="216" customFormat="1" ht="39.6" hidden="1" x14ac:dyDescent="0.3">
      <c r="A32" s="888" t="s">
        <v>220</v>
      </c>
      <c r="B32" s="884" t="s">
        <v>219</v>
      </c>
      <c r="C32" s="879" t="s">
        <v>218</v>
      </c>
      <c r="D32" s="879" t="s">
        <v>1174</v>
      </c>
      <c r="E32" s="879" t="s">
        <v>83</v>
      </c>
      <c r="F32" s="879" t="s">
        <v>82</v>
      </c>
      <c r="G32" s="886">
        <f t="shared" si="0"/>
        <v>0</v>
      </c>
      <c r="H32" s="892"/>
      <c r="I32" s="882">
        <v>0</v>
      </c>
      <c r="J32" s="887">
        <v>0</v>
      </c>
    </row>
    <row r="33" spans="1:10" s="216" customFormat="1" ht="39.6" x14ac:dyDescent="0.3">
      <c r="A33" s="888" t="s">
        <v>462</v>
      </c>
      <c r="B33" s="884" t="s">
        <v>219</v>
      </c>
      <c r="C33" s="879" t="s">
        <v>218</v>
      </c>
      <c r="D33" s="879" t="s">
        <v>1174</v>
      </c>
      <c r="E33" s="879" t="s">
        <v>1097</v>
      </c>
      <c r="F33" s="879" t="s">
        <v>1098</v>
      </c>
      <c r="G33" s="886">
        <f t="shared" si="0"/>
        <v>329000</v>
      </c>
      <c r="H33" s="882">
        <v>329000</v>
      </c>
      <c r="I33" s="882">
        <v>0</v>
      </c>
      <c r="J33" s="887">
        <v>0</v>
      </c>
    </row>
    <row r="34" spans="1:10" s="216" customFormat="1" x14ac:dyDescent="0.3">
      <c r="A34" s="891"/>
      <c r="B34" s="884"/>
      <c r="C34" s="879"/>
      <c r="D34" s="879" t="s">
        <v>201</v>
      </c>
      <c r="E34" s="879"/>
      <c r="F34" s="879"/>
      <c r="G34" s="886">
        <f t="shared" si="0"/>
        <v>329000</v>
      </c>
      <c r="H34" s="882">
        <v>329000</v>
      </c>
      <c r="I34" s="882">
        <v>0</v>
      </c>
      <c r="J34" s="887">
        <v>0</v>
      </c>
    </row>
    <row r="35" spans="1:10" s="216" customFormat="1" ht="53.25" customHeight="1" x14ac:dyDescent="0.3">
      <c r="A35" s="888" t="s">
        <v>462</v>
      </c>
      <c r="B35" s="884">
        <v>5031</v>
      </c>
      <c r="C35" s="879" t="s">
        <v>218</v>
      </c>
      <c r="D35" s="879" t="s">
        <v>1174</v>
      </c>
      <c r="E35" s="879" t="s">
        <v>652</v>
      </c>
      <c r="F35" s="879" t="s">
        <v>653</v>
      </c>
      <c r="G35" s="886">
        <f>H35+I35</f>
        <v>11493</v>
      </c>
      <c r="H35" s="893">
        <v>11493</v>
      </c>
      <c r="I35" s="882">
        <v>0</v>
      </c>
      <c r="J35" s="887">
        <v>0</v>
      </c>
    </row>
    <row r="36" spans="1:10" s="216" customFormat="1" ht="26.4" x14ac:dyDescent="0.3">
      <c r="A36" s="888" t="s">
        <v>463</v>
      </c>
      <c r="B36" s="884" t="s">
        <v>217</v>
      </c>
      <c r="C36" s="879" t="s">
        <v>209</v>
      </c>
      <c r="D36" s="879" t="s">
        <v>216</v>
      </c>
      <c r="E36" s="879" t="s">
        <v>1138</v>
      </c>
      <c r="F36" s="879" t="s">
        <v>215</v>
      </c>
      <c r="G36" s="886">
        <f t="shared" si="0"/>
        <v>401000</v>
      </c>
      <c r="H36" s="882">
        <v>401000</v>
      </c>
      <c r="I36" s="882">
        <v>0</v>
      </c>
      <c r="J36" s="887">
        <v>0</v>
      </c>
    </row>
    <row r="37" spans="1:10" s="216" customFormat="1" ht="42" customHeight="1" x14ac:dyDescent="0.3">
      <c r="A37" s="888" t="s">
        <v>463</v>
      </c>
      <c r="B37" s="884" t="s">
        <v>217</v>
      </c>
      <c r="C37" s="879" t="s">
        <v>209</v>
      </c>
      <c r="D37" s="879" t="s">
        <v>216</v>
      </c>
      <c r="E37" s="879" t="s">
        <v>931</v>
      </c>
      <c r="F37" s="879" t="s">
        <v>646</v>
      </c>
      <c r="G37" s="886">
        <f t="shared" si="0"/>
        <v>1239000</v>
      </c>
      <c r="H37" s="882">
        <f>1000000+15000+54000</f>
        <v>1069000</v>
      </c>
      <c r="I37" s="882">
        <v>170000</v>
      </c>
      <c r="J37" s="887">
        <v>170000</v>
      </c>
    </row>
    <row r="38" spans="1:10" s="216" customFormat="1" ht="43.5" customHeight="1" x14ac:dyDescent="0.3">
      <c r="A38" s="888" t="s">
        <v>464</v>
      </c>
      <c r="B38" s="884" t="s">
        <v>214</v>
      </c>
      <c r="C38" s="879" t="s">
        <v>209</v>
      </c>
      <c r="D38" s="879" t="s">
        <v>213</v>
      </c>
      <c r="E38" s="879" t="s">
        <v>1097</v>
      </c>
      <c r="F38" s="879" t="s">
        <v>1098</v>
      </c>
      <c r="G38" s="886">
        <f t="shared" si="0"/>
        <v>1480000</v>
      </c>
      <c r="H38" s="882">
        <v>1480000</v>
      </c>
      <c r="I38" s="882">
        <v>0</v>
      </c>
      <c r="J38" s="887">
        <v>0</v>
      </c>
    </row>
    <row r="39" spans="1:10" s="216" customFormat="1" ht="54" customHeight="1" x14ac:dyDescent="0.3">
      <c r="A39" s="888" t="s">
        <v>687</v>
      </c>
      <c r="B39" s="884">
        <v>6020</v>
      </c>
      <c r="C39" s="879" t="s">
        <v>209</v>
      </c>
      <c r="D39" s="879" t="s">
        <v>212</v>
      </c>
      <c r="E39" s="879" t="s">
        <v>931</v>
      </c>
      <c r="F39" s="879" t="s">
        <v>646</v>
      </c>
      <c r="G39" s="886">
        <f t="shared" si="0"/>
        <v>2768047</v>
      </c>
      <c r="H39" s="882">
        <f>1950000+34647+42400</f>
        <v>2027047</v>
      </c>
      <c r="I39" s="882">
        <v>741000</v>
      </c>
      <c r="J39" s="882">
        <v>741000</v>
      </c>
    </row>
    <row r="40" spans="1:10" s="216" customFormat="1" ht="54.75" customHeight="1" x14ac:dyDescent="0.3">
      <c r="A40" s="895" t="s">
        <v>687</v>
      </c>
      <c r="B40" s="896">
        <v>6020</v>
      </c>
      <c r="C40" s="897" t="s">
        <v>209</v>
      </c>
      <c r="D40" s="897" t="s">
        <v>212</v>
      </c>
      <c r="E40" s="879" t="s">
        <v>1006</v>
      </c>
      <c r="F40" s="879" t="s">
        <v>1005</v>
      </c>
      <c r="G40" s="898">
        <f t="shared" si="0"/>
        <v>50000</v>
      </c>
      <c r="H40" s="882">
        <v>50000</v>
      </c>
      <c r="I40" s="899">
        <v>0</v>
      </c>
      <c r="J40" s="900">
        <v>0</v>
      </c>
    </row>
    <row r="41" spans="1:10" s="216" customFormat="1" ht="39.6" x14ac:dyDescent="0.3">
      <c r="A41" s="888" t="s">
        <v>466</v>
      </c>
      <c r="B41" s="884" t="s">
        <v>210</v>
      </c>
      <c r="C41" s="879" t="s">
        <v>209</v>
      </c>
      <c r="D41" s="879" t="s">
        <v>208</v>
      </c>
      <c r="E41" s="879" t="s">
        <v>211</v>
      </c>
      <c r="F41" s="879" t="s">
        <v>120</v>
      </c>
      <c r="G41" s="886">
        <f t="shared" si="0"/>
        <v>176500</v>
      </c>
      <c r="H41" s="882">
        <f>300000-208899</f>
        <v>91101</v>
      </c>
      <c r="I41" s="882">
        <v>85399</v>
      </c>
      <c r="J41" s="887">
        <v>85399</v>
      </c>
    </row>
    <row r="42" spans="1:10" s="216" customFormat="1" ht="26.4" x14ac:dyDescent="0.3">
      <c r="A42" s="888" t="s">
        <v>466</v>
      </c>
      <c r="B42" s="884" t="s">
        <v>210</v>
      </c>
      <c r="C42" s="879" t="s">
        <v>209</v>
      </c>
      <c r="D42" s="879" t="s">
        <v>208</v>
      </c>
      <c r="E42" s="879" t="s">
        <v>1133</v>
      </c>
      <c r="F42" s="879" t="s">
        <v>1134</v>
      </c>
      <c r="G42" s="886">
        <f t="shared" si="0"/>
        <v>15000</v>
      </c>
      <c r="H42" s="882">
        <v>15000</v>
      </c>
      <c r="I42" s="882">
        <v>0</v>
      </c>
      <c r="J42" s="887">
        <v>0</v>
      </c>
    </row>
    <row r="43" spans="1:10" s="216" customFormat="1" ht="26.4" x14ac:dyDescent="0.3">
      <c r="A43" s="888" t="s">
        <v>466</v>
      </c>
      <c r="B43" s="884" t="s">
        <v>210</v>
      </c>
      <c r="C43" s="879" t="s">
        <v>209</v>
      </c>
      <c r="D43" s="879" t="s">
        <v>208</v>
      </c>
      <c r="E43" s="879" t="s">
        <v>1097</v>
      </c>
      <c r="F43" s="879" t="s">
        <v>1098</v>
      </c>
      <c r="G43" s="886">
        <f t="shared" si="0"/>
        <v>5461609</v>
      </c>
      <c r="H43" s="882">
        <f>5131500-15000-100000+960000+344000-690647-40000-188244</f>
        <v>5401609</v>
      </c>
      <c r="I43" s="882">
        <v>60000</v>
      </c>
      <c r="J43" s="887">
        <v>60000</v>
      </c>
    </row>
    <row r="44" spans="1:10" s="216" customFormat="1" ht="26.4" x14ac:dyDescent="0.3">
      <c r="A44" s="888" t="s">
        <v>466</v>
      </c>
      <c r="B44" s="884" t="s">
        <v>210</v>
      </c>
      <c r="C44" s="879" t="s">
        <v>209</v>
      </c>
      <c r="D44" s="879" t="s">
        <v>208</v>
      </c>
      <c r="E44" s="890" t="s">
        <v>1099</v>
      </c>
      <c r="F44" s="890" t="s">
        <v>1100</v>
      </c>
      <c r="G44" s="886">
        <f t="shared" si="0"/>
        <v>100000</v>
      </c>
      <c r="H44" s="882">
        <v>100000</v>
      </c>
      <c r="I44" s="882">
        <v>0</v>
      </c>
      <c r="J44" s="887">
        <v>0</v>
      </c>
    </row>
    <row r="45" spans="1:10" s="216" customFormat="1" ht="31.5" customHeight="1" x14ac:dyDescent="0.3">
      <c r="A45" s="888" t="s">
        <v>470</v>
      </c>
      <c r="B45" s="884" t="s">
        <v>207</v>
      </c>
      <c r="C45" s="879" t="s">
        <v>206</v>
      </c>
      <c r="D45" s="879" t="s">
        <v>205</v>
      </c>
      <c r="E45" s="890" t="s">
        <v>1099</v>
      </c>
      <c r="F45" s="890" t="s">
        <v>1100</v>
      </c>
      <c r="G45" s="886">
        <f t="shared" si="0"/>
        <v>21500</v>
      </c>
      <c r="H45" s="882">
        <v>21500</v>
      </c>
      <c r="I45" s="882">
        <v>0</v>
      </c>
      <c r="J45" s="887">
        <v>0</v>
      </c>
    </row>
    <row r="46" spans="1:10" s="216" customFormat="1" ht="29.25" customHeight="1" x14ac:dyDescent="0.3">
      <c r="A46" s="888" t="s">
        <v>470</v>
      </c>
      <c r="B46" s="884" t="s">
        <v>207</v>
      </c>
      <c r="C46" s="879" t="s">
        <v>206</v>
      </c>
      <c r="D46" s="879" t="s">
        <v>205</v>
      </c>
      <c r="E46" s="879" t="s">
        <v>1097</v>
      </c>
      <c r="F46" s="879" t="s">
        <v>1098</v>
      </c>
      <c r="G46" s="886">
        <f t="shared" si="0"/>
        <v>159740</v>
      </c>
      <c r="H46" s="882">
        <v>159740</v>
      </c>
      <c r="I46" s="882">
        <v>0</v>
      </c>
      <c r="J46" s="887">
        <v>0</v>
      </c>
    </row>
    <row r="47" spans="1:10" s="216" customFormat="1" ht="29.25" customHeight="1" x14ac:dyDescent="0.3">
      <c r="A47" s="888" t="s">
        <v>470</v>
      </c>
      <c r="B47" s="884" t="s">
        <v>207</v>
      </c>
      <c r="C47" s="879" t="s">
        <v>206</v>
      </c>
      <c r="D47" s="879" t="s">
        <v>205</v>
      </c>
      <c r="E47" s="879" t="s">
        <v>211</v>
      </c>
      <c r="F47" s="879" t="s">
        <v>120</v>
      </c>
      <c r="G47" s="886">
        <f t="shared" si="0"/>
        <v>80000</v>
      </c>
      <c r="H47" s="882"/>
      <c r="I47" s="882">
        <v>80000</v>
      </c>
      <c r="J47" s="887">
        <v>80000</v>
      </c>
    </row>
    <row r="48" spans="1:10" s="216" customFormat="1" ht="42.75" customHeight="1" x14ac:dyDescent="0.3">
      <c r="A48" s="888" t="s">
        <v>470</v>
      </c>
      <c r="B48" s="884" t="s">
        <v>207</v>
      </c>
      <c r="C48" s="879" t="s">
        <v>206</v>
      </c>
      <c r="D48" s="879" t="s">
        <v>205</v>
      </c>
      <c r="E48" s="879" t="s">
        <v>1137</v>
      </c>
      <c r="F48" s="879" t="s">
        <v>1136</v>
      </c>
      <c r="G48" s="886">
        <f t="shared" si="0"/>
        <v>40000</v>
      </c>
      <c r="H48" s="882">
        <v>40000</v>
      </c>
      <c r="I48" s="882">
        <v>0</v>
      </c>
      <c r="J48" s="894">
        <v>0</v>
      </c>
    </row>
    <row r="49" spans="1:10" s="216" customFormat="1" ht="28.8" customHeight="1" x14ac:dyDescent="0.3">
      <c r="A49" s="888" t="s">
        <v>472</v>
      </c>
      <c r="B49" s="884" t="s">
        <v>204</v>
      </c>
      <c r="C49" s="879" t="s">
        <v>203</v>
      </c>
      <c r="D49" s="879" t="s">
        <v>202</v>
      </c>
      <c r="E49" s="879" t="s">
        <v>1097</v>
      </c>
      <c r="F49" s="879" t="s">
        <v>1098</v>
      </c>
      <c r="G49" s="886">
        <f t="shared" si="0"/>
        <v>182500</v>
      </c>
      <c r="H49" s="882">
        <f>100000+82500</f>
        <v>182500</v>
      </c>
      <c r="I49" s="882">
        <v>0</v>
      </c>
      <c r="J49" s="887">
        <v>0</v>
      </c>
    </row>
    <row r="50" spans="1:10" s="216" customFormat="1" ht="39.6" hidden="1" x14ac:dyDescent="0.3">
      <c r="A50" s="888"/>
      <c r="B50" s="884"/>
      <c r="C50" s="879"/>
      <c r="D50" s="879" t="s">
        <v>201</v>
      </c>
      <c r="E50" s="879" t="s">
        <v>570</v>
      </c>
      <c r="F50" s="879" t="s">
        <v>583</v>
      </c>
      <c r="G50" s="886">
        <f t="shared" si="0"/>
        <v>0</v>
      </c>
      <c r="H50" s="894"/>
      <c r="I50" s="882">
        <v>0</v>
      </c>
      <c r="J50" s="887">
        <v>0</v>
      </c>
    </row>
    <row r="51" spans="1:10" s="216" customFormat="1" ht="26.4" hidden="1" x14ac:dyDescent="0.3">
      <c r="A51" s="888" t="s">
        <v>571</v>
      </c>
      <c r="B51" s="884" t="s">
        <v>200</v>
      </c>
      <c r="C51" s="879" t="s">
        <v>21</v>
      </c>
      <c r="D51" s="879" t="s">
        <v>199</v>
      </c>
      <c r="E51" s="879" t="s">
        <v>584</v>
      </c>
      <c r="F51" s="879" t="s">
        <v>582</v>
      </c>
      <c r="G51" s="886">
        <f t="shared" si="0"/>
        <v>0</v>
      </c>
      <c r="H51" s="894"/>
      <c r="I51" s="882"/>
      <c r="J51" s="887"/>
    </row>
    <row r="52" spans="1:10" s="216" customFormat="1" ht="26.4" x14ac:dyDescent="0.3">
      <c r="A52" s="888" t="s">
        <v>691</v>
      </c>
      <c r="B52" s="884">
        <v>7330</v>
      </c>
      <c r="C52" s="879" t="s">
        <v>21</v>
      </c>
      <c r="D52" s="879" t="s">
        <v>197</v>
      </c>
      <c r="E52" s="879" t="s">
        <v>1097</v>
      </c>
      <c r="F52" s="879" t="s">
        <v>1098</v>
      </c>
      <c r="G52" s="886">
        <f t="shared" si="0"/>
        <v>133211</v>
      </c>
      <c r="H52" s="894"/>
      <c r="I52" s="894">
        <f>34211+99000</f>
        <v>133211</v>
      </c>
      <c r="J52" s="894">
        <f>34211+99000</f>
        <v>133211</v>
      </c>
    </row>
    <row r="53" spans="1:10" s="216" customFormat="1" ht="34.5" customHeight="1" x14ac:dyDescent="0.3">
      <c r="A53" s="888" t="s">
        <v>692</v>
      </c>
      <c r="B53" s="884" t="s">
        <v>196</v>
      </c>
      <c r="C53" s="879" t="s">
        <v>21</v>
      </c>
      <c r="D53" s="879" t="s">
        <v>195</v>
      </c>
      <c r="E53" s="879" t="s">
        <v>1097</v>
      </c>
      <c r="F53" s="879" t="s">
        <v>1098</v>
      </c>
      <c r="G53" s="886">
        <f t="shared" si="0"/>
        <v>78000</v>
      </c>
      <c r="H53" s="882"/>
      <c r="I53" s="882">
        <v>78000</v>
      </c>
      <c r="J53" s="894">
        <v>78000</v>
      </c>
    </row>
    <row r="54" spans="1:10" s="216" customFormat="1" ht="44.25" hidden="1" customHeight="1" x14ac:dyDescent="0.3">
      <c r="A54" s="888" t="s">
        <v>569</v>
      </c>
      <c r="B54" s="884" t="s">
        <v>194</v>
      </c>
      <c r="C54" s="879" t="s">
        <v>53</v>
      </c>
      <c r="D54" s="879" t="s">
        <v>52</v>
      </c>
      <c r="E54" s="879" t="s">
        <v>641</v>
      </c>
      <c r="F54" s="879" t="s">
        <v>638</v>
      </c>
      <c r="G54" s="886">
        <f t="shared" si="0"/>
        <v>0</v>
      </c>
      <c r="H54" s="882"/>
      <c r="I54" s="882">
        <f>552466-100000-41000-378400-33066</f>
        <v>0</v>
      </c>
      <c r="J54" s="894">
        <f>552466-100000-41000-378400-33066</f>
        <v>0</v>
      </c>
    </row>
    <row r="55" spans="1:10" s="216" customFormat="1" ht="54" customHeight="1" x14ac:dyDescent="0.3">
      <c r="A55" s="888" t="s">
        <v>474</v>
      </c>
      <c r="B55" s="884" t="s">
        <v>193</v>
      </c>
      <c r="C55" s="879" t="s">
        <v>192</v>
      </c>
      <c r="D55" s="879" t="s">
        <v>191</v>
      </c>
      <c r="E55" s="879" t="s">
        <v>1097</v>
      </c>
      <c r="F55" s="879" t="s">
        <v>1098</v>
      </c>
      <c r="G55" s="886">
        <f t="shared" si="0"/>
        <v>1425000</v>
      </c>
      <c r="H55" s="882">
        <f>1500000-75000</f>
        <v>1425000</v>
      </c>
      <c r="I55" s="882"/>
      <c r="J55" s="887"/>
    </row>
    <row r="56" spans="1:10" s="216" customFormat="1" ht="54" hidden="1" customHeight="1" x14ac:dyDescent="0.3">
      <c r="A56" s="891" t="s">
        <v>190</v>
      </c>
      <c r="B56" s="889" t="s">
        <v>189</v>
      </c>
      <c r="C56" s="885" t="s">
        <v>188</v>
      </c>
      <c r="D56" s="885" t="s">
        <v>187</v>
      </c>
      <c r="E56" s="885" t="s">
        <v>11</v>
      </c>
      <c r="F56" s="885" t="s">
        <v>10</v>
      </c>
      <c r="G56" s="886">
        <f t="shared" si="0"/>
        <v>0</v>
      </c>
      <c r="H56" s="882"/>
      <c r="I56" s="882">
        <v>0</v>
      </c>
      <c r="J56" s="887">
        <v>0</v>
      </c>
    </row>
    <row r="57" spans="1:10" s="216" customFormat="1" ht="33.6" hidden="1" customHeight="1" x14ac:dyDescent="0.3">
      <c r="A57" s="891"/>
      <c r="B57" s="889"/>
      <c r="C57" s="885"/>
      <c r="D57" s="885" t="s">
        <v>49</v>
      </c>
      <c r="E57" s="885"/>
      <c r="F57" s="885"/>
      <c r="G57" s="886">
        <f t="shared" si="0"/>
        <v>0</v>
      </c>
      <c r="H57" s="882"/>
      <c r="I57" s="882">
        <v>0</v>
      </c>
      <c r="J57" s="887">
        <v>0</v>
      </c>
    </row>
    <row r="58" spans="1:10" s="216" customFormat="1" ht="26.4" x14ac:dyDescent="0.3">
      <c r="A58" s="888" t="s">
        <v>475</v>
      </c>
      <c r="B58" s="884" t="s">
        <v>186</v>
      </c>
      <c r="C58" s="879" t="s">
        <v>185</v>
      </c>
      <c r="D58" s="879" t="s">
        <v>184</v>
      </c>
      <c r="E58" s="879" t="s">
        <v>1135</v>
      </c>
      <c r="F58" s="879" t="s">
        <v>1217</v>
      </c>
      <c r="G58" s="886">
        <f t="shared" si="0"/>
        <v>2000</v>
      </c>
      <c r="H58" s="882">
        <v>2000</v>
      </c>
      <c r="I58" s="882"/>
      <c r="J58" s="887"/>
    </row>
    <row r="59" spans="1:10" s="216" customFormat="1" ht="26.4" x14ac:dyDescent="0.3">
      <c r="A59" s="888" t="s">
        <v>476</v>
      </c>
      <c r="B59" s="884" t="s">
        <v>183</v>
      </c>
      <c r="C59" s="879" t="s">
        <v>53</v>
      </c>
      <c r="D59" s="879" t="s">
        <v>182</v>
      </c>
      <c r="E59" s="879" t="s">
        <v>1097</v>
      </c>
      <c r="F59" s="879" t="s">
        <v>1098</v>
      </c>
      <c r="G59" s="886">
        <f t="shared" si="0"/>
        <v>73000</v>
      </c>
      <c r="H59" s="882"/>
      <c r="I59" s="882">
        <f>50000+23000</f>
        <v>73000</v>
      </c>
      <c r="J59" s="887">
        <f>50000+23000</f>
        <v>73000</v>
      </c>
    </row>
    <row r="60" spans="1:10" s="216" customFormat="1" ht="52.8" x14ac:dyDescent="0.3">
      <c r="A60" s="888" t="s">
        <v>477</v>
      </c>
      <c r="B60" s="884" t="s">
        <v>181</v>
      </c>
      <c r="C60" s="879" t="s">
        <v>53</v>
      </c>
      <c r="D60" s="879" t="s">
        <v>180</v>
      </c>
      <c r="E60" s="879" t="s">
        <v>1097</v>
      </c>
      <c r="F60" s="879" t="s">
        <v>1098</v>
      </c>
      <c r="G60" s="886">
        <f t="shared" si="0"/>
        <v>50000</v>
      </c>
      <c r="H60" s="882"/>
      <c r="I60" s="882">
        <v>50000</v>
      </c>
      <c r="J60" s="887">
        <v>50000</v>
      </c>
    </row>
    <row r="61" spans="1:10" s="216" customFormat="1" ht="26.4" x14ac:dyDescent="0.3">
      <c r="A61" s="888" t="s">
        <v>478</v>
      </c>
      <c r="B61" s="884" t="s">
        <v>179</v>
      </c>
      <c r="C61" s="879" t="s">
        <v>53</v>
      </c>
      <c r="D61" s="879" t="s">
        <v>178</v>
      </c>
      <c r="E61" s="879" t="s">
        <v>1097</v>
      </c>
      <c r="F61" s="879" t="s">
        <v>1098</v>
      </c>
      <c r="G61" s="886">
        <f t="shared" si="0"/>
        <v>30000</v>
      </c>
      <c r="H61" s="882">
        <v>30000</v>
      </c>
      <c r="I61" s="882"/>
      <c r="J61" s="887"/>
    </row>
    <row r="62" spans="1:10" s="216" customFormat="1" ht="26.4" x14ac:dyDescent="0.3">
      <c r="A62" s="888" t="s">
        <v>479</v>
      </c>
      <c r="B62" s="884" t="s">
        <v>177</v>
      </c>
      <c r="C62" s="879" t="s">
        <v>53</v>
      </c>
      <c r="D62" s="879" t="s">
        <v>176</v>
      </c>
      <c r="E62" s="879" t="s">
        <v>1097</v>
      </c>
      <c r="F62" s="879" t="s">
        <v>1098</v>
      </c>
      <c r="G62" s="886">
        <f t="shared" si="0"/>
        <v>82000</v>
      </c>
      <c r="H62" s="882">
        <f>47000+35000</f>
        <v>82000</v>
      </c>
      <c r="I62" s="882"/>
      <c r="J62" s="887"/>
    </row>
    <row r="63" spans="1:10" s="216" customFormat="1" ht="26.4" x14ac:dyDescent="0.3">
      <c r="A63" s="888" t="s">
        <v>480</v>
      </c>
      <c r="B63" s="884" t="s">
        <v>175</v>
      </c>
      <c r="C63" s="879" t="s">
        <v>172</v>
      </c>
      <c r="D63" s="879" t="s">
        <v>174</v>
      </c>
      <c r="E63" s="879" t="s">
        <v>1133</v>
      </c>
      <c r="F63" s="879" t="s">
        <v>1134</v>
      </c>
      <c r="G63" s="886">
        <f t="shared" si="0"/>
        <v>288000</v>
      </c>
      <c r="H63" s="882">
        <f>65000+150000+20000</f>
        <v>235000</v>
      </c>
      <c r="I63" s="882">
        <v>53000</v>
      </c>
      <c r="J63" s="894">
        <v>53000</v>
      </c>
    </row>
    <row r="64" spans="1:10" s="216" customFormat="1" ht="26.4" x14ac:dyDescent="0.3">
      <c r="A64" s="888" t="s">
        <v>481</v>
      </c>
      <c r="B64" s="884" t="s">
        <v>173</v>
      </c>
      <c r="C64" s="879" t="s">
        <v>172</v>
      </c>
      <c r="D64" s="879" t="s">
        <v>171</v>
      </c>
      <c r="E64" s="879" t="s">
        <v>1133</v>
      </c>
      <c r="F64" s="879" t="s">
        <v>1134</v>
      </c>
      <c r="G64" s="886">
        <f t="shared" si="0"/>
        <v>16800</v>
      </c>
      <c r="H64" s="882">
        <v>16800</v>
      </c>
      <c r="I64" s="882"/>
      <c r="J64" s="887"/>
    </row>
    <row r="65" spans="1:27" s="216" customFormat="1" ht="26.4" x14ac:dyDescent="0.3">
      <c r="A65" s="888" t="s">
        <v>697</v>
      </c>
      <c r="B65" s="884" t="s">
        <v>698</v>
      </c>
      <c r="C65" s="879" t="s">
        <v>484</v>
      </c>
      <c r="D65" s="879" t="s">
        <v>699</v>
      </c>
      <c r="E65" s="890" t="s">
        <v>1099</v>
      </c>
      <c r="F65" s="890" t="s">
        <v>1100</v>
      </c>
      <c r="G65" s="886">
        <f t="shared" si="0"/>
        <v>80000</v>
      </c>
      <c r="H65" s="882">
        <v>80000</v>
      </c>
      <c r="I65" s="882"/>
      <c r="J65" s="887"/>
    </row>
    <row r="66" spans="1:27" s="216" customFormat="1" ht="36" customHeight="1" x14ac:dyDescent="0.3">
      <c r="A66" s="888" t="s">
        <v>700</v>
      </c>
      <c r="B66" s="884">
        <v>8240</v>
      </c>
      <c r="C66" s="879" t="s">
        <v>484</v>
      </c>
      <c r="D66" s="879" t="s">
        <v>701</v>
      </c>
      <c r="E66" s="890" t="s">
        <v>1099</v>
      </c>
      <c r="F66" s="890" t="s">
        <v>1100</v>
      </c>
      <c r="G66" s="886">
        <f t="shared" si="0"/>
        <v>125000</v>
      </c>
      <c r="H66" s="882">
        <f>1000000-70000-875000</f>
        <v>55000</v>
      </c>
      <c r="I66" s="882">
        <v>70000</v>
      </c>
      <c r="J66" s="894">
        <v>70000</v>
      </c>
    </row>
    <row r="67" spans="1:27" s="216" customFormat="1" ht="34.5" customHeight="1" x14ac:dyDescent="0.3">
      <c r="A67" s="888" t="s">
        <v>486</v>
      </c>
      <c r="B67" s="884" t="s">
        <v>170</v>
      </c>
      <c r="C67" s="879" t="s">
        <v>169</v>
      </c>
      <c r="D67" s="879" t="s">
        <v>168</v>
      </c>
      <c r="E67" s="879" t="s">
        <v>1097</v>
      </c>
      <c r="F67" s="879" t="s">
        <v>1098</v>
      </c>
      <c r="G67" s="886">
        <f t="shared" si="0"/>
        <v>197982.97999999998</v>
      </c>
      <c r="H67" s="882"/>
      <c r="I67" s="882">
        <f>80000+117982.98</f>
        <v>197982.97999999998</v>
      </c>
      <c r="J67" s="887"/>
    </row>
    <row r="68" spans="1:27" s="216" customFormat="1" ht="36.75" customHeight="1" x14ac:dyDescent="0.3">
      <c r="A68" s="888" t="s">
        <v>487</v>
      </c>
      <c r="B68" s="884" t="s">
        <v>167</v>
      </c>
      <c r="C68" s="879" t="s">
        <v>166</v>
      </c>
      <c r="D68" s="879" t="s">
        <v>165</v>
      </c>
      <c r="E68" s="879" t="s">
        <v>1097</v>
      </c>
      <c r="F68" s="879" t="s">
        <v>1098</v>
      </c>
      <c r="G68" s="886">
        <f t="shared" si="0"/>
        <v>350090</v>
      </c>
      <c r="H68" s="882">
        <f>205000+145090</f>
        <v>350090</v>
      </c>
      <c r="I68" s="882"/>
      <c r="J68" s="887"/>
    </row>
    <row r="69" spans="1:27" s="216" customFormat="1" ht="38.25" customHeight="1" x14ac:dyDescent="0.3">
      <c r="A69" s="902" t="s">
        <v>709</v>
      </c>
      <c r="B69" s="903" t="s">
        <v>8</v>
      </c>
      <c r="C69" s="901" t="s">
        <v>7</v>
      </c>
      <c r="D69" s="901" t="s">
        <v>6</v>
      </c>
      <c r="E69" s="890" t="s">
        <v>1099</v>
      </c>
      <c r="F69" s="890" t="s">
        <v>1100</v>
      </c>
      <c r="G69" s="904">
        <f t="shared" si="0"/>
        <v>750000</v>
      </c>
      <c r="H69" s="905">
        <v>200000</v>
      </c>
      <c r="I69" s="905">
        <v>550000</v>
      </c>
      <c r="J69" s="1037">
        <v>450000</v>
      </c>
    </row>
    <row r="70" spans="1:27" s="152" customFormat="1" ht="60" hidden="1" customHeight="1" x14ac:dyDescent="0.3">
      <c r="A70" s="902" t="s">
        <v>709</v>
      </c>
      <c r="B70" s="903" t="s">
        <v>8</v>
      </c>
      <c r="C70" s="901" t="s">
        <v>7</v>
      </c>
      <c r="D70" s="901" t="s">
        <v>6</v>
      </c>
      <c r="E70" s="879" t="s">
        <v>916</v>
      </c>
      <c r="F70" s="879" t="s">
        <v>917</v>
      </c>
      <c r="G70" s="904">
        <f>H70+I70</f>
        <v>0</v>
      </c>
      <c r="H70" s="905"/>
      <c r="I70" s="906"/>
      <c r="J70" s="907"/>
    </row>
    <row r="71" spans="1:27" s="152" customFormat="1" ht="39.6" x14ac:dyDescent="0.3">
      <c r="A71" s="902" t="s">
        <v>709</v>
      </c>
      <c r="B71" s="903" t="s">
        <v>8</v>
      </c>
      <c r="C71" s="901" t="s">
        <v>7</v>
      </c>
      <c r="D71" s="901" t="s">
        <v>6</v>
      </c>
      <c r="E71" s="879" t="s">
        <v>901</v>
      </c>
      <c r="F71" s="879" t="s">
        <v>902</v>
      </c>
      <c r="G71" s="904">
        <f>H71+I71</f>
        <v>150000</v>
      </c>
      <c r="H71" s="898">
        <v>150000</v>
      </c>
      <c r="I71" s="906"/>
      <c r="J71" s="907"/>
    </row>
    <row r="72" spans="1:27" s="152" customFormat="1" ht="40.200000000000003" thickBot="1" x14ac:dyDescent="0.35">
      <c r="A72" s="902" t="s">
        <v>709</v>
      </c>
      <c r="B72" s="903" t="s">
        <v>8</v>
      </c>
      <c r="C72" s="901" t="s">
        <v>7</v>
      </c>
      <c r="D72" s="901" t="s">
        <v>6</v>
      </c>
      <c r="E72" s="879" t="s">
        <v>1133</v>
      </c>
      <c r="F72" s="879" t="s">
        <v>1134</v>
      </c>
      <c r="G72" s="904">
        <f>H72+I72</f>
        <v>150000</v>
      </c>
      <c r="H72" s="908">
        <f>90000+60000</f>
        <v>150000</v>
      </c>
      <c r="I72" s="909">
        <f>60000-60000</f>
        <v>0</v>
      </c>
      <c r="J72" s="1234">
        <f>60000-60000</f>
        <v>0</v>
      </c>
    </row>
    <row r="73" spans="1:27" s="152" customFormat="1" ht="34.950000000000003" customHeight="1" thickBot="1" x14ac:dyDescent="0.35">
      <c r="A73" s="910" t="s">
        <v>164</v>
      </c>
      <c r="B73" s="911" t="s">
        <v>46</v>
      </c>
      <c r="C73" s="911" t="s">
        <v>46</v>
      </c>
      <c r="D73" s="911" t="s">
        <v>163</v>
      </c>
      <c r="E73" s="912" t="s">
        <v>46</v>
      </c>
      <c r="F73" s="911" t="s">
        <v>46</v>
      </c>
      <c r="G73" s="913">
        <f>G74</f>
        <v>26398814.329999998</v>
      </c>
      <c r="H73" s="913">
        <f>H74</f>
        <v>20927095.800000001</v>
      </c>
      <c r="I73" s="913">
        <f>I74</f>
        <v>5471718.5300000003</v>
      </c>
      <c r="J73" s="914">
        <f>J74</f>
        <v>1113047.2</v>
      </c>
    </row>
    <row r="74" spans="1:27" s="152" customFormat="1" ht="34.950000000000003" customHeight="1" thickBot="1" x14ac:dyDescent="0.35">
      <c r="A74" s="915" t="s">
        <v>494</v>
      </c>
      <c r="B74" s="916" t="s">
        <v>46</v>
      </c>
      <c r="C74" s="916" t="s">
        <v>46</v>
      </c>
      <c r="D74" s="916" t="s">
        <v>163</v>
      </c>
      <c r="E74" s="917"/>
      <c r="F74" s="916"/>
      <c r="G74" s="918">
        <f>SUM(G75:G115)</f>
        <v>26398814.329999998</v>
      </c>
      <c r="H74" s="918">
        <f>SUM(H75:H115)</f>
        <v>20927095.800000001</v>
      </c>
      <c r="I74" s="918">
        <f>SUM(I75:I115)</f>
        <v>5471718.5300000003</v>
      </c>
      <c r="J74" s="919">
        <f>SUM(J75:J115)</f>
        <v>1113047.2</v>
      </c>
      <c r="AA74" s="678"/>
    </row>
    <row r="75" spans="1:27" s="152" customFormat="1" ht="30" customHeight="1" x14ac:dyDescent="0.3">
      <c r="A75" s="920" t="s">
        <v>162</v>
      </c>
      <c r="B75" s="921" t="s">
        <v>78</v>
      </c>
      <c r="C75" s="922" t="s">
        <v>161</v>
      </c>
      <c r="D75" s="922" t="s">
        <v>160</v>
      </c>
      <c r="E75" s="878" t="s">
        <v>608</v>
      </c>
      <c r="F75" s="922" t="s">
        <v>585</v>
      </c>
      <c r="G75" s="923">
        <f t="shared" ref="G75:G99" si="1">H75+I75</f>
        <v>234500</v>
      </c>
      <c r="H75" s="924">
        <v>168000</v>
      </c>
      <c r="I75" s="924">
        <v>66500</v>
      </c>
      <c r="J75" s="925"/>
    </row>
    <row r="76" spans="1:27" s="152" customFormat="1" ht="57.75" hidden="1" customHeight="1" x14ac:dyDescent="0.3">
      <c r="A76" s="926" t="s">
        <v>162</v>
      </c>
      <c r="B76" s="927" t="s">
        <v>78</v>
      </c>
      <c r="C76" s="890" t="s">
        <v>161</v>
      </c>
      <c r="D76" s="890" t="s">
        <v>160</v>
      </c>
      <c r="E76" s="879" t="s">
        <v>641</v>
      </c>
      <c r="F76" s="879" t="s">
        <v>638</v>
      </c>
      <c r="G76" s="898">
        <f t="shared" si="1"/>
        <v>0</v>
      </c>
      <c r="H76" s="899"/>
      <c r="I76" s="899"/>
      <c r="J76" s="900"/>
    </row>
    <row r="77" spans="1:27" s="152" customFormat="1" ht="57.75" hidden="1" customHeight="1" x14ac:dyDescent="0.3">
      <c r="A77" s="888" t="s">
        <v>162</v>
      </c>
      <c r="B77" s="884" t="s">
        <v>78</v>
      </c>
      <c r="C77" s="879" t="s">
        <v>161</v>
      </c>
      <c r="D77" s="879" t="s">
        <v>160</v>
      </c>
      <c r="E77" s="879" t="s">
        <v>906</v>
      </c>
      <c r="F77" s="879" t="s">
        <v>913</v>
      </c>
      <c r="G77" s="898">
        <f t="shared" si="1"/>
        <v>0</v>
      </c>
      <c r="H77" s="882"/>
      <c r="I77" s="899"/>
      <c r="J77" s="928"/>
    </row>
    <row r="78" spans="1:27" s="152" customFormat="1" ht="29.25" customHeight="1" x14ac:dyDescent="0.3">
      <c r="A78" s="926" t="s">
        <v>162</v>
      </c>
      <c r="B78" s="927" t="s">
        <v>78</v>
      </c>
      <c r="C78" s="890" t="s">
        <v>161</v>
      </c>
      <c r="D78" s="890" t="s">
        <v>160</v>
      </c>
      <c r="E78" s="879" t="s">
        <v>633</v>
      </c>
      <c r="F78" s="890" t="s">
        <v>634</v>
      </c>
      <c r="G78" s="898">
        <f t="shared" si="1"/>
        <v>3733130</v>
      </c>
      <c r="H78" s="899">
        <f>1373999+30132-12000+2340399</f>
        <v>3732530</v>
      </c>
      <c r="I78" s="899">
        <v>600</v>
      </c>
      <c r="J78" s="928"/>
    </row>
    <row r="79" spans="1:27" s="152" customFormat="1" ht="33.75" customHeight="1" x14ac:dyDescent="0.3">
      <c r="A79" s="926" t="s">
        <v>162</v>
      </c>
      <c r="B79" s="927" t="s">
        <v>78</v>
      </c>
      <c r="C79" s="890" t="s">
        <v>161</v>
      </c>
      <c r="D79" s="890" t="s">
        <v>160</v>
      </c>
      <c r="E79" s="879" t="s">
        <v>635</v>
      </c>
      <c r="F79" s="890" t="s">
        <v>636</v>
      </c>
      <c r="G79" s="898">
        <f t="shared" si="1"/>
        <v>1953906</v>
      </c>
      <c r="H79" s="899">
        <v>1504514</v>
      </c>
      <c r="I79" s="899">
        <f>449992-600</f>
        <v>449392</v>
      </c>
      <c r="J79" s="928"/>
    </row>
    <row r="80" spans="1:27" s="152" customFormat="1" ht="42.75" customHeight="1" x14ac:dyDescent="0.3">
      <c r="A80" s="926" t="s">
        <v>162</v>
      </c>
      <c r="B80" s="927" t="s">
        <v>78</v>
      </c>
      <c r="C80" s="890" t="s">
        <v>161</v>
      </c>
      <c r="D80" s="890" t="s">
        <v>160</v>
      </c>
      <c r="E80" s="879" t="s">
        <v>654</v>
      </c>
      <c r="F80" s="879" t="s">
        <v>655</v>
      </c>
      <c r="G80" s="886">
        <f t="shared" si="1"/>
        <v>249427</v>
      </c>
      <c r="H80" s="882">
        <f>107427+142000</f>
        <v>249427</v>
      </c>
      <c r="I80" s="882"/>
      <c r="J80" s="887"/>
    </row>
    <row r="81" spans="1:22" s="152" customFormat="1" ht="26.4" x14ac:dyDescent="0.3">
      <c r="A81" s="926" t="s">
        <v>158</v>
      </c>
      <c r="B81" s="927" t="s">
        <v>157</v>
      </c>
      <c r="C81" s="890" t="s">
        <v>153</v>
      </c>
      <c r="D81" s="890" t="s">
        <v>156</v>
      </c>
      <c r="E81" s="879" t="s">
        <v>633</v>
      </c>
      <c r="F81" s="890" t="s">
        <v>634</v>
      </c>
      <c r="G81" s="898">
        <f t="shared" si="1"/>
        <v>2307818</v>
      </c>
      <c r="H81" s="899">
        <f>1834889+181437+7520+161399</f>
        <v>2185245</v>
      </c>
      <c r="I81" s="899">
        <f>81573+30000+11000</f>
        <v>122573</v>
      </c>
      <c r="J81" s="928">
        <v>11000</v>
      </c>
    </row>
    <row r="82" spans="1:22" s="152" customFormat="1" ht="33" customHeight="1" x14ac:dyDescent="0.3">
      <c r="A82" s="926" t="s">
        <v>158</v>
      </c>
      <c r="B82" s="927" t="s">
        <v>157</v>
      </c>
      <c r="C82" s="929" t="s">
        <v>153</v>
      </c>
      <c r="D82" s="217" t="s">
        <v>611</v>
      </c>
      <c r="E82" s="879" t="s">
        <v>635</v>
      </c>
      <c r="F82" s="890" t="s">
        <v>636</v>
      </c>
      <c r="G82" s="898">
        <f t="shared" si="1"/>
        <v>3658239</v>
      </c>
      <c r="H82" s="899">
        <v>3650494</v>
      </c>
      <c r="I82" s="899">
        <v>7745</v>
      </c>
      <c r="J82" s="928"/>
      <c r="K82" s="930"/>
      <c r="L82" s="930"/>
      <c r="M82" s="930"/>
      <c r="N82" s="930"/>
      <c r="O82" s="930"/>
      <c r="P82" s="930"/>
      <c r="Q82" s="930"/>
      <c r="R82" s="930"/>
      <c r="S82" s="930"/>
      <c r="T82" s="930"/>
      <c r="U82" s="930"/>
      <c r="V82" s="930"/>
    </row>
    <row r="83" spans="1:22" s="152" customFormat="1" ht="28.5" customHeight="1" x14ac:dyDescent="0.3">
      <c r="A83" s="926" t="s">
        <v>158</v>
      </c>
      <c r="B83" s="927" t="s">
        <v>157</v>
      </c>
      <c r="C83" s="929" t="s">
        <v>153</v>
      </c>
      <c r="D83" s="217" t="s">
        <v>611</v>
      </c>
      <c r="E83" s="879" t="s">
        <v>639</v>
      </c>
      <c r="F83" s="890" t="s">
        <v>637</v>
      </c>
      <c r="G83" s="898">
        <f t="shared" si="1"/>
        <v>40000</v>
      </c>
      <c r="H83" s="899">
        <v>40000</v>
      </c>
      <c r="I83" s="899"/>
      <c r="J83" s="900"/>
      <c r="K83" s="930"/>
      <c r="L83" s="930"/>
      <c r="M83" s="930"/>
      <c r="N83" s="930"/>
      <c r="O83" s="930"/>
      <c r="P83" s="930"/>
      <c r="Q83" s="930"/>
      <c r="R83" s="930"/>
      <c r="S83" s="930"/>
      <c r="T83" s="930"/>
      <c r="U83" s="930"/>
      <c r="V83" s="930"/>
    </row>
    <row r="84" spans="1:22" s="152" customFormat="1" ht="45.75" customHeight="1" x14ac:dyDescent="0.3">
      <c r="A84" s="926" t="s">
        <v>158</v>
      </c>
      <c r="B84" s="927" t="s">
        <v>157</v>
      </c>
      <c r="C84" s="929" t="s">
        <v>153</v>
      </c>
      <c r="D84" s="217" t="s">
        <v>611</v>
      </c>
      <c r="E84" s="879" t="s">
        <v>652</v>
      </c>
      <c r="F84" s="879" t="s">
        <v>655</v>
      </c>
      <c r="G84" s="886">
        <f>H84+I84</f>
        <v>465315</v>
      </c>
      <c r="H84" s="882">
        <f>215315+250000</f>
        <v>465315</v>
      </c>
      <c r="I84" s="882"/>
      <c r="J84" s="887"/>
      <c r="K84" s="930"/>
      <c r="L84" s="930"/>
      <c r="M84" s="930"/>
      <c r="N84" s="930"/>
      <c r="O84" s="930"/>
      <c r="P84" s="930"/>
      <c r="Q84" s="930"/>
      <c r="R84" s="930"/>
      <c r="S84" s="930"/>
      <c r="T84" s="930"/>
      <c r="U84" s="930"/>
      <c r="V84" s="930"/>
    </row>
    <row r="85" spans="1:22" s="152" customFormat="1" ht="50.25" customHeight="1" x14ac:dyDescent="0.3">
      <c r="A85" s="926" t="s">
        <v>158</v>
      </c>
      <c r="B85" s="927" t="s">
        <v>157</v>
      </c>
      <c r="C85" s="929" t="s">
        <v>153</v>
      </c>
      <c r="D85" s="217" t="s">
        <v>611</v>
      </c>
      <c r="E85" s="879" t="s">
        <v>641</v>
      </c>
      <c r="F85" s="879" t="s">
        <v>638</v>
      </c>
      <c r="G85" s="886">
        <f>H85+I85</f>
        <v>35000</v>
      </c>
      <c r="H85" s="882"/>
      <c r="I85" s="882">
        <v>35000</v>
      </c>
      <c r="J85" s="894">
        <v>35000</v>
      </c>
      <c r="K85" s="930"/>
      <c r="L85" s="930"/>
      <c r="M85" s="930"/>
      <c r="N85" s="930"/>
      <c r="O85" s="930"/>
      <c r="P85" s="930"/>
      <c r="Q85" s="930"/>
      <c r="R85" s="930"/>
      <c r="S85" s="930"/>
      <c r="T85" s="930"/>
      <c r="U85" s="930"/>
      <c r="V85" s="930"/>
    </row>
    <row r="86" spans="1:22" s="152" customFormat="1" ht="50.25" customHeight="1" x14ac:dyDescent="0.3">
      <c r="A86" s="926" t="s">
        <v>158</v>
      </c>
      <c r="B86" s="927" t="s">
        <v>157</v>
      </c>
      <c r="C86" s="929" t="s">
        <v>153</v>
      </c>
      <c r="D86" s="217" t="s">
        <v>611</v>
      </c>
      <c r="E86" s="879" t="s">
        <v>211</v>
      </c>
      <c r="F86" s="879" t="s">
        <v>120</v>
      </c>
      <c r="G86" s="886">
        <f>H86+I86</f>
        <v>43500</v>
      </c>
      <c r="H86" s="882">
        <v>43500</v>
      </c>
      <c r="I86" s="882"/>
      <c r="J86" s="887"/>
      <c r="K86" s="930"/>
      <c r="L86" s="930"/>
      <c r="M86" s="930"/>
      <c r="N86" s="930"/>
      <c r="O86" s="930"/>
      <c r="P86" s="930"/>
      <c r="Q86" s="930"/>
      <c r="R86" s="930"/>
      <c r="S86" s="930"/>
      <c r="T86" s="930"/>
      <c r="U86" s="930"/>
      <c r="V86" s="930"/>
    </row>
    <row r="87" spans="1:22" s="152" customFormat="1" ht="50.25" hidden="1" customHeight="1" x14ac:dyDescent="0.3">
      <c r="A87" s="926" t="s">
        <v>158</v>
      </c>
      <c r="B87" s="927" t="s">
        <v>157</v>
      </c>
      <c r="C87" s="929" t="s">
        <v>153</v>
      </c>
      <c r="D87" s="217" t="s">
        <v>611</v>
      </c>
      <c r="E87" s="879" t="s">
        <v>906</v>
      </c>
      <c r="F87" s="879" t="s">
        <v>913</v>
      </c>
      <c r="G87" s="886">
        <f>H87+I87</f>
        <v>0</v>
      </c>
      <c r="H87" s="882"/>
      <c r="I87" s="882"/>
      <c r="J87" s="887"/>
      <c r="K87" s="930"/>
      <c r="L87" s="930"/>
      <c r="M87" s="930"/>
      <c r="N87" s="930"/>
      <c r="O87" s="930"/>
      <c r="P87" s="930"/>
      <c r="Q87" s="930"/>
      <c r="R87" s="930"/>
      <c r="S87" s="930"/>
      <c r="T87" s="930"/>
      <c r="U87" s="930"/>
      <c r="V87" s="930"/>
    </row>
    <row r="88" spans="1:22" s="152" customFormat="1" ht="39.75" customHeight="1" x14ac:dyDescent="0.3">
      <c r="A88" s="697" t="s">
        <v>947</v>
      </c>
      <c r="B88" s="698" t="s">
        <v>948</v>
      </c>
      <c r="C88" s="698" t="s">
        <v>153</v>
      </c>
      <c r="D88" s="701" t="s">
        <v>949</v>
      </c>
      <c r="E88" s="879" t="s">
        <v>633</v>
      </c>
      <c r="F88" s="890" t="s">
        <v>634</v>
      </c>
      <c r="G88" s="898">
        <f t="shared" si="1"/>
        <v>1587375</v>
      </c>
      <c r="H88" s="882">
        <f>1209241+340940+18794</f>
        <v>1568975</v>
      </c>
      <c r="I88" s="882">
        <v>18400</v>
      </c>
      <c r="J88" s="887"/>
      <c r="K88" s="930"/>
      <c r="L88" s="930"/>
      <c r="M88" s="930"/>
      <c r="N88" s="930"/>
      <c r="O88" s="930"/>
      <c r="P88" s="930"/>
      <c r="Q88" s="930"/>
      <c r="R88" s="930"/>
      <c r="S88" s="930"/>
      <c r="T88" s="930"/>
      <c r="U88" s="930"/>
      <c r="V88" s="930"/>
    </row>
    <row r="89" spans="1:22" s="152" customFormat="1" ht="39.6" x14ac:dyDescent="0.3">
      <c r="A89" s="697" t="s">
        <v>947</v>
      </c>
      <c r="B89" s="698" t="s">
        <v>948</v>
      </c>
      <c r="C89" s="698" t="s">
        <v>153</v>
      </c>
      <c r="D89" s="701" t="s">
        <v>949</v>
      </c>
      <c r="E89" s="879" t="s">
        <v>652</v>
      </c>
      <c r="F89" s="879" t="s">
        <v>655</v>
      </c>
      <c r="G89" s="898">
        <f t="shared" si="1"/>
        <v>20452</v>
      </c>
      <c r="H89" s="882">
        <f>12452+8000</f>
        <v>20452</v>
      </c>
      <c r="I89" s="882"/>
      <c r="J89" s="887"/>
      <c r="K89" s="930"/>
      <c r="L89" s="930"/>
      <c r="M89" s="930"/>
      <c r="N89" s="930"/>
      <c r="O89" s="930"/>
      <c r="P89" s="930"/>
      <c r="Q89" s="930"/>
      <c r="R89" s="930"/>
      <c r="S89" s="930"/>
      <c r="T89" s="930"/>
      <c r="U89" s="930"/>
      <c r="V89" s="930"/>
    </row>
    <row r="90" spans="1:22" s="152" customFormat="1" ht="26.4" x14ac:dyDescent="0.3">
      <c r="A90" s="926" t="s">
        <v>151</v>
      </c>
      <c r="B90" s="927" t="s">
        <v>95</v>
      </c>
      <c r="C90" s="931">
        <v>970</v>
      </c>
      <c r="D90" s="890" t="s">
        <v>150</v>
      </c>
      <c r="E90" s="879" t="s">
        <v>633</v>
      </c>
      <c r="F90" s="890" t="s">
        <v>634</v>
      </c>
      <c r="G90" s="898">
        <f t="shared" si="1"/>
        <v>139681</v>
      </c>
      <c r="H90" s="899">
        <f>63008+3000+41305</f>
        <v>107313</v>
      </c>
      <c r="I90" s="899">
        <v>32368</v>
      </c>
      <c r="J90" s="928"/>
      <c r="K90" s="930"/>
      <c r="L90" s="930"/>
      <c r="M90" s="930"/>
      <c r="N90" s="930"/>
      <c r="O90" s="930"/>
      <c r="P90" s="930"/>
      <c r="Q90" s="930"/>
      <c r="R90" s="930"/>
      <c r="S90" s="930"/>
      <c r="T90" s="930"/>
      <c r="U90" s="930"/>
      <c r="V90" s="930"/>
    </row>
    <row r="91" spans="1:22" s="152" customFormat="1" ht="26.4" x14ac:dyDescent="0.3">
      <c r="A91" s="926" t="s">
        <v>151</v>
      </c>
      <c r="B91" s="927" t="s">
        <v>95</v>
      </c>
      <c r="C91" s="931">
        <v>970</v>
      </c>
      <c r="D91" s="890" t="s">
        <v>150</v>
      </c>
      <c r="E91" s="879" t="s">
        <v>610</v>
      </c>
      <c r="F91" s="890" t="s">
        <v>586</v>
      </c>
      <c r="G91" s="898">
        <f t="shared" si="1"/>
        <v>70000</v>
      </c>
      <c r="H91" s="899">
        <f>54500+15500</f>
        <v>70000</v>
      </c>
      <c r="I91" s="928"/>
      <c r="J91" s="928"/>
      <c r="K91" s="930"/>
      <c r="L91" s="930"/>
      <c r="M91" s="930"/>
      <c r="N91" s="930"/>
      <c r="O91" s="930"/>
      <c r="P91" s="930"/>
      <c r="Q91" s="930"/>
      <c r="R91" s="930"/>
      <c r="S91" s="930"/>
      <c r="T91" s="930"/>
      <c r="U91" s="930"/>
      <c r="V91" s="930"/>
    </row>
    <row r="92" spans="1:22" s="152" customFormat="1" ht="26.4" hidden="1" x14ac:dyDescent="0.3">
      <c r="A92" s="932" t="s">
        <v>149</v>
      </c>
      <c r="B92" s="933" t="s">
        <v>148</v>
      </c>
      <c r="C92" s="934" t="s">
        <v>126</v>
      </c>
      <c r="D92" s="934" t="s">
        <v>147</v>
      </c>
      <c r="E92" s="885" t="s">
        <v>83</v>
      </c>
      <c r="F92" s="934" t="s">
        <v>585</v>
      </c>
      <c r="G92" s="898">
        <f t="shared" si="1"/>
        <v>0</v>
      </c>
      <c r="H92" s="899"/>
      <c r="I92" s="899"/>
      <c r="J92" s="928"/>
      <c r="K92" s="930"/>
      <c r="L92" s="930"/>
      <c r="M92" s="930"/>
      <c r="N92" s="930"/>
      <c r="O92" s="930"/>
      <c r="P92" s="930"/>
      <c r="Q92" s="930"/>
      <c r="R92" s="930"/>
      <c r="S92" s="930"/>
      <c r="T92" s="930"/>
      <c r="U92" s="930"/>
      <c r="V92" s="930"/>
    </row>
    <row r="93" spans="1:22" s="152" customFormat="1" ht="54" hidden="1" customHeight="1" x14ac:dyDescent="0.3">
      <c r="A93" s="926" t="s">
        <v>151</v>
      </c>
      <c r="B93" s="927" t="s">
        <v>95</v>
      </c>
      <c r="C93" s="931">
        <v>970</v>
      </c>
      <c r="D93" s="890" t="s">
        <v>150</v>
      </c>
      <c r="E93" s="879" t="s">
        <v>641</v>
      </c>
      <c r="F93" s="879" t="s">
        <v>638</v>
      </c>
      <c r="G93" s="898">
        <f t="shared" si="1"/>
        <v>0</v>
      </c>
      <c r="H93" s="899"/>
      <c r="I93" s="899"/>
      <c r="J93" s="900"/>
      <c r="K93" s="935"/>
      <c r="L93" s="935"/>
      <c r="M93" s="935"/>
      <c r="N93" s="935"/>
      <c r="O93" s="935"/>
      <c r="P93" s="935"/>
      <c r="Q93" s="935"/>
      <c r="R93" s="935"/>
      <c r="S93" s="935"/>
      <c r="T93" s="935"/>
      <c r="U93" s="935"/>
      <c r="V93" s="935"/>
    </row>
    <row r="94" spans="1:22" s="152" customFormat="1" ht="45.75" customHeight="1" x14ac:dyDescent="0.3">
      <c r="A94" s="926" t="s">
        <v>151</v>
      </c>
      <c r="B94" s="927" t="s">
        <v>95</v>
      </c>
      <c r="C94" s="931">
        <v>970</v>
      </c>
      <c r="D94" s="890" t="s">
        <v>150</v>
      </c>
      <c r="E94" s="879" t="s">
        <v>652</v>
      </c>
      <c r="F94" s="879" t="s">
        <v>655</v>
      </c>
      <c r="G94" s="886">
        <f t="shared" si="1"/>
        <v>37677</v>
      </c>
      <c r="H94" s="882">
        <f>19677+18000</f>
        <v>37677</v>
      </c>
      <c r="I94" s="882"/>
      <c r="J94" s="887"/>
      <c r="K94" s="935"/>
      <c r="L94" s="935"/>
      <c r="M94" s="935"/>
      <c r="N94" s="935"/>
      <c r="O94" s="935"/>
      <c r="P94" s="935"/>
      <c r="Q94" s="935"/>
      <c r="R94" s="935"/>
      <c r="S94" s="935"/>
      <c r="T94" s="935"/>
      <c r="U94" s="935"/>
      <c r="V94" s="935"/>
    </row>
    <row r="95" spans="1:22" s="152" customFormat="1" ht="45.75" customHeight="1" x14ac:dyDescent="0.3">
      <c r="A95" s="926" t="s">
        <v>151</v>
      </c>
      <c r="B95" s="927" t="s">
        <v>95</v>
      </c>
      <c r="C95" s="931">
        <v>970</v>
      </c>
      <c r="D95" s="890" t="s">
        <v>150</v>
      </c>
      <c r="E95" s="879" t="s">
        <v>211</v>
      </c>
      <c r="F95" s="879" t="s">
        <v>120</v>
      </c>
      <c r="G95" s="886">
        <f t="shared" si="1"/>
        <v>41868</v>
      </c>
      <c r="H95" s="882">
        <v>41868</v>
      </c>
      <c r="I95" s="882"/>
      <c r="J95" s="887"/>
      <c r="K95" s="935"/>
      <c r="L95" s="935"/>
      <c r="M95" s="935"/>
      <c r="N95" s="935"/>
      <c r="O95" s="935"/>
      <c r="P95" s="935"/>
      <c r="Q95" s="935"/>
      <c r="R95" s="935"/>
      <c r="S95" s="935"/>
      <c r="T95" s="935"/>
      <c r="U95" s="935"/>
      <c r="V95" s="935"/>
    </row>
    <row r="96" spans="1:22" s="152" customFormat="1" ht="41.25" customHeight="1" x14ac:dyDescent="0.3">
      <c r="A96" s="926" t="s">
        <v>149</v>
      </c>
      <c r="B96" s="927" t="s">
        <v>148</v>
      </c>
      <c r="C96" s="890" t="s">
        <v>126</v>
      </c>
      <c r="D96" s="890" t="s">
        <v>147</v>
      </c>
      <c r="E96" s="879" t="s">
        <v>633</v>
      </c>
      <c r="F96" s="890" t="s">
        <v>634</v>
      </c>
      <c r="G96" s="898">
        <f t="shared" si="1"/>
        <v>5064715</v>
      </c>
      <c r="H96" s="882">
        <f>3944715+14000+1106000-36000</f>
        <v>5028715</v>
      </c>
      <c r="I96" s="899">
        <v>36000</v>
      </c>
      <c r="J96" s="928">
        <v>36000</v>
      </c>
      <c r="K96" s="935"/>
      <c r="L96" s="935"/>
      <c r="M96" s="935"/>
      <c r="N96" s="935"/>
      <c r="O96" s="935"/>
      <c r="P96" s="935"/>
      <c r="Q96" s="935"/>
      <c r="R96" s="935"/>
      <c r="S96" s="935"/>
      <c r="T96" s="935"/>
      <c r="U96" s="935"/>
      <c r="V96" s="935"/>
    </row>
    <row r="97" spans="1:22" s="152" customFormat="1" ht="48.75" hidden="1" customHeight="1" x14ac:dyDescent="0.3">
      <c r="A97" s="926" t="s">
        <v>149</v>
      </c>
      <c r="B97" s="927" t="s">
        <v>148</v>
      </c>
      <c r="C97" s="890" t="s">
        <v>126</v>
      </c>
      <c r="D97" s="890" t="s">
        <v>147</v>
      </c>
      <c r="E97" s="879" t="s">
        <v>652</v>
      </c>
      <c r="F97" s="879" t="s">
        <v>655</v>
      </c>
      <c r="G97" s="886">
        <f>H97+I97</f>
        <v>0</v>
      </c>
      <c r="H97" s="882"/>
      <c r="I97" s="882"/>
      <c r="J97" s="887"/>
      <c r="K97" s="935"/>
      <c r="L97" s="935"/>
      <c r="M97" s="935"/>
      <c r="N97" s="935"/>
      <c r="O97" s="935"/>
      <c r="P97" s="935"/>
      <c r="Q97" s="935"/>
      <c r="R97" s="935"/>
      <c r="S97" s="935"/>
      <c r="T97" s="935"/>
      <c r="U97" s="935"/>
      <c r="V97" s="935"/>
    </row>
    <row r="98" spans="1:22" s="152" customFormat="1" ht="26.4" x14ac:dyDescent="0.3">
      <c r="A98" s="926" t="s">
        <v>146</v>
      </c>
      <c r="B98" s="927" t="s">
        <v>145</v>
      </c>
      <c r="C98" s="890" t="s">
        <v>126</v>
      </c>
      <c r="D98" s="890" t="s">
        <v>144</v>
      </c>
      <c r="E98" s="879" t="s">
        <v>633</v>
      </c>
      <c r="F98" s="890" t="s">
        <v>634</v>
      </c>
      <c r="G98" s="898">
        <f t="shared" si="1"/>
        <v>1096040</v>
      </c>
      <c r="H98" s="882">
        <f>402422+693618</f>
        <v>1096040</v>
      </c>
      <c r="I98" s="899"/>
      <c r="J98" s="928"/>
      <c r="K98" s="935"/>
      <c r="L98" s="935"/>
      <c r="M98" s="935"/>
      <c r="N98" s="935"/>
      <c r="O98" s="935"/>
      <c r="P98" s="935"/>
      <c r="Q98" s="935"/>
      <c r="R98" s="935"/>
      <c r="S98" s="935"/>
      <c r="T98" s="935"/>
      <c r="U98" s="935"/>
      <c r="V98" s="935"/>
    </row>
    <row r="99" spans="1:22" s="152" customFormat="1" ht="33.75" customHeight="1" x14ac:dyDescent="0.3">
      <c r="A99" s="926" t="s">
        <v>146</v>
      </c>
      <c r="B99" s="927" t="s">
        <v>145</v>
      </c>
      <c r="C99" s="890" t="s">
        <v>126</v>
      </c>
      <c r="D99" s="890" t="s">
        <v>144</v>
      </c>
      <c r="E99" s="879" t="s">
        <v>610</v>
      </c>
      <c r="F99" s="890" t="s">
        <v>586</v>
      </c>
      <c r="G99" s="898">
        <f t="shared" si="1"/>
        <v>21720</v>
      </c>
      <c r="H99" s="882">
        <v>21720</v>
      </c>
      <c r="I99" s="899"/>
      <c r="J99" s="928"/>
      <c r="K99" s="935"/>
      <c r="L99" s="935"/>
      <c r="M99" s="935"/>
      <c r="N99" s="935"/>
      <c r="O99" s="935"/>
      <c r="P99" s="935"/>
      <c r="Q99" s="935"/>
      <c r="R99" s="935"/>
      <c r="S99" s="935"/>
      <c r="T99" s="935"/>
      <c r="U99" s="935"/>
      <c r="V99" s="935"/>
    </row>
    <row r="100" spans="1:22" s="152" customFormat="1" ht="30.75" customHeight="1" x14ac:dyDescent="0.3">
      <c r="A100" s="926" t="s">
        <v>502</v>
      </c>
      <c r="B100" s="927">
        <v>1151</v>
      </c>
      <c r="C100" s="929" t="s">
        <v>126</v>
      </c>
      <c r="D100" s="217" t="s">
        <v>504</v>
      </c>
      <c r="E100" s="879" t="s">
        <v>633</v>
      </c>
      <c r="F100" s="890" t="s">
        <v>634</v>
      </c>
      <c r="G100" s="898">
        <f>H100+I100</f>
        <v>5600</v>
      </c>
      <c r="H100" s="882">
        <f>4000+1600</f>
        <v>5600</v>
      </c>
      <c r="I100" s="899"/>
      <c r="J100" s="928"/>
      <c r="K100" s="935"/>
      <c r="L100" s="935"/>
      <c r="M100" s="935"/>
      <c r="N100" s="935"/>
      <c r="O100" s="935"/>
      <c r="P100" s="935"/>
      <c r="Q100" s="935"/>
      <c r="R100" s="935"/>
      <c r="S100" s="935"/>
      <c r="T100" s="935"/>
      <c r="U100" s="935"/>
      <c r="V100" s="935"/>
    </row>
    <row r="101" spans="1:22" s="152" customFormat="1" ht="42" customHeight="1" x14ac:dyDescent="0.3">
      <c r="A101" s="926" t="s">
        <v>502</v>
      </c>
      <c r="B101" s="927">
        <v>1151</v>
      </c>
      <c r="C101" s="929" t="s">
        <v>126</v>
      </c>
      <c r="D101" s="217" t="s">
        <v>504</v>
      </c>
      <c r="E101" s="879" t="s">
        <v>652</v>
      </c>
      <c r="F101" s="879" t="s">
        <v>655</v>
      </c>
      <c r="G101" s="886">
        <f>H101+I101</f>
        <v>7700</v>
      </c>
      <c r="H101" s="882">
        <f>3900+3800</f>
        <v>7700</v>
      </c>
      <c r="I101" s="882"/>
      <c r="J101" s="887"/>
      <c r="K101" s="935"/>
      <c r="L101" s="935"/>
      <c r="M101" s="935"/>
      <c r="N101" s="935"/>
      <c r="O101" s="935"/>
      <c r="P101" s="935"/>
      <c r="Q101" s="935"/>
      <c r="R101" s="935"/>
      <c r="S101" s="935"/>
      <c r="T101" s="935"/>
      <c r="U101" s="935"/>
      <c r="V101" s="935"/>
    </row>
    <row r="102" spans="1:22" s="152" customFormat="1" ht="33.75" customHeight="1" x14ac:dyDescent="0.3">
      <c r="A102" s="926" t="s">
        <v>508</v>
      </c>
      <c r="B102" s="927">
        <v>1160</v>
      </c>
      <c r="C102" s="929" t="s">
        <v>126</v>
      </c>
      <c r="D102" s="221" t="s">
        <v>510</v>
      </c>
      <c r="E102" s="879" t="s">
        <v>633</v>
      </c>
      <c r="F102" s="890" t="s">
        <v>634</v>
      </c>
      <c r="G102" s="886">
        <f>H102+I102</f>
        <v>671157</v>
      </c>
      <c r="H102" s="882">
        <f>880357-209200-18400</f>
        <v>652757</v>
      </c>
      <c r="I102" s="882">
        <v>18400</v>
      </c>
      <c r="J102" s="887">
        <v>18400</v>
      </c>
      <c r="K102" s="935"/>
      <c r="L102" s="935"/>
      <c r="M102" s="935"/>
      <c r="N102" s="935"/>
      <c r="O102" s="935"/>
      <c r="P102" s="935"/>
      <c r="Q102" s="935"/>
      <c r="R102" s="935"/>
      <c r="S102" s="935"/>
      <c r="T102" s="935"/>
      <c r="U102" s="935"/>
      <c r="V102" s="935"/>
    </row>
    <row r="103" spans="1:22" s="152" customFormat="1" ht="52.8" hidden="1" x14ac:dyDescent="0.3">
      <c r="A103" s="926" t="s">
        <v>134</v>
      </c>
      <c r="B103" s="927" t="s">
        <v>133</v>
      </c>
      <c r="C103" s="890" t="s">
        <v>126</v>
      </c>
      <c r="D103" s="890" t="s">
        <v>132</v>
      </c>
      <c r="E103" s="890" t="s">
        <v>633</v>
      </c>
      <c r="F103" s="890" t="s">
        <v>634</v>
      </c>
      <c r="G103" s="898">
        <f t="shared" ref="G103:G115" si="2">H103+I103</f>
        <v>0</v>
      </c>
      <c r="H103" s="1029"/>
      <c r="I103" s="1030"/>
      <c r="J103" s="1038"/>
      <c r="K103" s="935"/>
      <c r="L103" s="935"/>
      <c r="M103" s="935"/>
      <c r="N103" s="935"/>
      <c r="O103" s="935"/>
      <c r="P103" s="935"/>
      <c r="Q103" s="935"/>
      <c r="R103" s="935"/>
      <c r="S103" s="935"/>
      <c r="T103" s="935"/>
      <c r="U103" s="935"/>
      <c r="V103" s="935"/>
    </row>
    <row r="104" spans="1:22" s="152" customFormat="1" ht="52.8" hidden="1" x14ac:dyDescent="0.3">
      <c r="A104" s="1031" t="s">
        <v>511</v>
      </c>
      <c r="B104" s="1032" t="s">
        <v>512</v>
      </c>
      <c r="C104" s="1033" t="s">
        <v>126</v>
      </c>
      <c r="D104" s="218" t="s">
        <v>513</v>
      </c>
      <c r="E104" s="890" t="s">
        <v>633</v>
      </c>
      <c r="F104" s="890" t="s">
        <v>634</v>
      </c>
      <c r="G104" s="898">
        <f t="shared" si="2"/>
        <v>0</v>
      </c>
      <c r="H104" s="1030"/>
      <c r="I104" s="1030"/>
      <c r="J104" s="1038"/>
      <c r="K104" s="935"/>
      <c r="L104" s="935"/>
      <c r="M104" s="935"/>
      <c r="N104" s="935"/>
      <c r="O104" s="935"/>
      <c r="P104" s="935"/>
      <c r="Q104" s="935"/>
      <c r="R104" s="935"/>
      <c r="S104" s="935"/>
      <c r="T104" s="935"/>
      <c r="U104" s="935"/>
      <c r="V104" s="935"/>
    </row>
    <row r="105" spans="1:22" s="152" customFormat="1" ht="66" x14ac:dyDescent="0.3">
      <c r="A105" s="1031" t="s">
        <v>1119</v>
      </c>
      <c r="B105" s="1032" t="s">
        <v>1121</v>
      </c>
      <c r="C105" s="1032" t="s">
        <v>126</v>
      </c>
      <c r="D105" s="217" t="s">
        <v>1118</v>
      </c>
      <c r="E105" s="890" t="s">
        <v>633</v>
      </c>
      <c r="F105" s="890" t="s">
        <v>634</v>
      </c>
      <c r="G105" s="898">
        <f t="shared" si="2"/>
        <v>112712</v>
      </c>
      <c r="H105" s="1030"/>
      <c r="I105" s="580">
        <v>112712</v>
      </c>
      <c r="J105" s="1235">
        <v>112712</v>
      </c>
      <c r="K105" s="935"/>
      <c r="L105" s="935"/>
      <c r="M105" s="935"/>
      <c r="N105" s="935"/>
      <c r="O105" s="935"/>
      <c r="P105" s="935"/>
      <c r="Q105" s="935"/>
      <c r="R105" s="935"/>
      <c r="S105" s="935"/>
      <c r="T105" s="935"/>
      <c r="U105" s="935"/>
      <c r="V105" s="935"/>
    </row>
    <row r="106" spans="1:22" s="152" customFormat="1" ht="82.8" customHeight="1" x14ac:dyDescent="0.3">
      <c r="A106" s="1031" t="s">
        <v>1120</v>
      </c>
      <c r="B106" s="1032" t="s">
        <v>1122</v>
      </c>
      <c r="C106" s="1032" t="s">
        <v>126</v>
      </c>
      <c r="D106" s="217" t="s">
        <v>1123</v>
      </c>
      <c r="E106" s="890" t="s">
        <v>633</v>
      </c>
      <c r="F106" s="890" t="s">
        <v>634</v>
      </c>
      <c r="G106" s="898">
        <f t="shared" si="2"/>
        <v>1014400</v>
      </c>
      <c r="H106" s="1030"/>
      <c r="I106" s="580">
        <v>1014400</v>
      </c>
      <c r="J106" s="1039"/>
      <c r="K106" s="935"/>
      <c r="L106" s="935"/>
      <c r="M106" s="935"/>
      <c r="N106" s="935"/>
      <c r="O106" s="935"/>
      <c r="P106" s="935"/>
      <c r="Q106" s="935"/>
      <c r="R106" s="935"/>
      <c r="S106" s="935"/>
      <c r="T106" s="935"/>
      <c r="U106" s="935"/>
      <c r="V106" s="935"/>
    </row>
    <row r="107" spans="1:22" s="152" customFormat="1" ht="73.8" customHeight="1" x14ac:dyDescent="0.3">
      <c r="A107" s="926" t="s">
        <v>131</v>
      </c>
      <c r="B107" s="927" t="s">
        <v>130</v>
      </c>
      <c r="C107" s="890" t="s">
        <v>126</v>
      </c>
      <c r="D107" s="890" t="s">
        <v>1184</v>
      </c>
      <c r="E107" s="890" t="s">
        <v>633</v>
      </c>
      <c r="F107" s="890" t="s">
        <v>634</v>
      </c>
      <c r="G107" s="898">
        <f t="shared" si="2"/>
        <v>188100</v>
      </c>
      <c r="H107" s="899">
        <v>188100</v>
      </c>
      <c r="I107" s="899"/>
      <c r="J107" s="928"/>
      <c r="K107" s="935"/>
      <c r="L107" s="935"/>
      <c r="M107" s="935"/>
      <c r="N107" s="935"/>
      <c r="O107" s="935"/>
      <c r="P107" s="935"/>
      <c r="Q107" s="935"/>
      <c r="R107" s="935"/>
      <c r="S107" s="935"/>
      <c r="T107" s="935"/>
      <c r="U107" s="935"/>
      <c r="V107" s="935"/>
    </row>
    <row r="108" spans="1:22" s="152" customFormat="1" ht="55.5" hidden="1" customHeight="1" x14ac:dyDescent="0.3">
      <c r="A108" s="932" t="s">
        <v>128</v>
      </c>
      <c r="B108" s="933" t="s">
        <v>127</v>
      </c>
      <c r="C108" s="934" t="s">
        <v>126</v>
      </c>
      <c r="D108" s="934" t="s">
        <v>125</v>
      </c>
      <c r="E108" s="934" t="s">
        <v>11</v>
      </c>
      <c r="F108" s="934" t="s">
        <v>120</v>
      </c>
      <c r="G108" s="898">
        <f t="shared" si="2"/>
        <v>0</v>
      </c>
      <c r="H108" s="899"/>
      <c r="I108" s="899"/>
      <c r="J108" s="928"/>
      <c r="K108" s="935"/>
      <c r="L108" s="935"/>
      <c r="M108" s="935"/>
      <c r="N108" s="935"/>
      <c r="O108" s="935"/>
      <c r="P108" s="935"/>
      <c r="Q108" s="935"/>
      <c r="R108" s="935"/>
      <c r="S108" s="935"/>
      <c r="T108" s="935"/>
      <c r="U108" s="935"/>
      <c r="V108" s="935"/>
    </row>
    <row r="109" spans="1:22" s="152" customFormat="1" ht="15.6" hidden="1" customHeight="1" x14ac:dyDescent="0.3">
      <c r="A109" s="932" t="s">
        <v>124</v>
      </c>
      <c r="B109" s="933" t="s">
        <v>86</v>
      </c>
      <c r="C109" s="934" t="s">
        <v>85</v>
      </c>
      <c r="D109" s="934" t="s">
        <v>84</v>
      </c>
      <c r="E109" s="934" t="s">
        <v>83</v>
      </c>
      <c r="F109" s="934" t="s">
        <v>82</v>
      </c>
      <c r="G109" s="898">
        <f t="shared" si="2"/>
        <v>0</v>
      </c>
      <c r="H109" s="899"/>
      <c r="I109" s="899"/>
      <c r="J109" s="928"/>
      <c r="K109" s="935"/>
      <c r="L109" s="935"/>
      <c r="M109" s="935"/>
      <c r="N109" s="935"/>
      <c r="O109" s="935"/>
      <c r="P109" s="935"/>
      <c r="Q109" s="935"/>
      <c r="R109" s="935"/>
      <c r="S109" s="935"/>
      <c r="T109" s="935"/>
      <c r="U109" s="935"/>
      <c r="V109" s="935"/>
    </row>
    <row r="110" spans="1:22" s="152" customFormat="1" ht="79.2" x14ac:dyDescent="0.3">
      <c r="A110" s="926" t="s">
        <v>858</v>
      </c>
      <c r="B110" s="927" t="s">
        <v>859</v>
      </c>
      <c r="C110" s="890" t="s">
        <v>126</v>
      </c>
      <c r="D110" s="890" t="s">
        <v>860</v>
      </c>
      <c r="E110" s="890" t="s">
        <v>633</v>
      </c>
      <c r="F110" s="890" t="s">
        <v>634</v>
      </c>
      <c r="G110" s="898">
        <f t="shared" si="2"/>
        <v>141089</v>
      </c>
      <c r="H110" s="899">
        <f>42284-1130.2</f>
        <v>41153.800000000003</v>
      </c>
      <c r="I110" s="1034">
        <f>98805+1130.2</f>
        <v>99935.2</v>
      </c>
      <c r="J110" s="1034">
        <f>98805+1130.2</f>
        <v>99935.2</v>
      </c>
      <c r="K110" s="935"/>
      <c r="L110" s="935"/>
      <c r="M110" s="935"/>
      <c r="N110" s="935"/>
      <c r="O110" s="935"/>
      <c r="P110" s="935"/>
      <c r="Q110" s="935"/>
      <c r="R110" s="935"/>
      <c r="S110" s="935"/>
      <c r="T110" s="935"/>
      <c r="U110" s="935"/>
      <c r="V110" s="935"/>
    </row>
    <row r="111" spans="1:22" s="152" customFormat="1" ht="79.2" x14ac:dyDescent="0.3">
      <c r="A111" s="926" t="s">
        <v>855</v>
      </c>
      <c r="B111" s="927" t="s">
        <v>854</v>
      </c>
      <c r="C111" s="890" t="s">
        <v>126</v>
      </c>
      <c r="D111" s="890" t="s">
        <v>856</v>
      </c>
      <c r="E111" s="890" t="s">
        <v>633</v>
      </c>
      <c r="F111" s="890" t="s">
        <v>634</v>
      </c>
      <c r="G111" s="898">
        <f t="shared" si="2"/>
        <v>1269793.33</v>
      </c>
      <c r="H111" s="899"/>
      <c r="I111" s="580">
        <v>1269793.33</v>
      </c>
      <c r="J111" s="928"/>
      <c r="K111" s="935"/>
      <c r="L111" s="935"/>
      <c r="M111" s="935"/>
      <c r="N111" s="935"/>
      <c r="O111" s="935"/>
      <c r="P111" s="935"/>
      <c r="Q111" s="935"/>
      <c r="R111" s="935"/>
      <c r="S111" s="935"/>
      <c r="T111" s="935"/>
      <c r="U111" s="935"/>
      <c r="V111" s="935"/>
    </row>
    <row r="112" spans="1:22" s="152" customFormat="1" ht="26.4" x14ac:dyDescent="0.3">
      <c r="A112" s="926" t="s">
        <v>1384</v>
      </c>
      <c r="B112" s="927" t="s">
        <v>1399</v>
      </c>
      <c r="C112" s="890" t="s">
        <v>126</v>
      </c>
      <c r="D112" s="890" t="s">
        <v>1400</v>
      </c>
      <c r="E112" s="890" t="s">
        <v>633</v>
      </c>
      <c r="F112" s="890" t="s">
        <v>634</v>
      </c>
      <c r="G112" s="898">
        <f t="shared" si="2"/>
        <v>800000</v>
      </c>
      <c r="H112" s="899"/>
      <c r="I112" s="1035">
        <v>800000</v>
      </c>
      <c r="J112" s="981">
        <v>800000</v>
      </c>
      <c r="K112" s="935"/>
      <c r="L112" s="935"/>
      <c r="M112" s="935"/>
      <c r="N112" s="935"/>
      <c r="O112" s="935"/>
      <c r="P112" s="935"/>
      <c r="Q112" s="935"/>
      <c r="R112" s="935"/>
      <c r="S112" s="935"/>
      <c r="T112" s="935"/>
      <c r="U112" s="935"/>
      <c r="V112" s="935"/>
    </row>
    <row r="113" spans="1:27" s="152" customFormat="1" ht="40.200000000000003" thickBot="1" x14ac:dyDescent="0.35">
      <c r="A113" s="1031" t="s">
        <v>999</v>
      </c>
      <c r="B113" s="1032" t="s">
        <v>998</v>
      </c>
      <c r="C113" s="1032" t="s">
        <v>126</v>
      </c>
      <c r="D113" s="1036" t="s">
        <v>997</v>
      </c>
      <c r="E113" s="890" t="s">
        <v>633</v>
      </c>
      <c r="F113" s="890" t="s">
        <v>634</v>
      </c>
      <c r="G113" s="898">
        <f t="shared" si="2"/>
        <v>1387900</v>
      </c>
      <c r="H113" s="899"/>
      <c r="I113" s="1035">
        <v>1387900</v>
      </c>
      <c r="J113" s="981"/>
      <c r="K113" s="935"/>
      <c r="L113" s="935"/>
      <c r="M113" s="935"/>
      <c r="N113" s="935"/>
      <c r="O113" s="935"/>
      <c r="P113" s="935"/>
      <c r="Q113" s="935"/>
      <c r="R113" s="935"/>
      <c r="S113" s="935"/>
      <c r="T113" s="935"/>
      <c r="U113" s="935"/>
      <c r="V113" s="935"/>
    </row>
    <row r="114" spans="1:27" s="216" customFormat="1" ht="26.4" hidden="1" x14ac:dyDescent="0.3">
      <c r="A114" s="888" t="s">
        <v>123</v>
      </c>
      <c r="B114" s="884" t="s">
        <v>122</v>
      </c>
      <c r="C114" s="879" t="s">
        <v>21</v>
      </c>
      <c r="D114" s="879" t="s">
        <v>121</v>
      </c>
      <c r="E114" s="879" t="s">
        <v>641</v>
      </c>
      <c r="F114" s="879" t="s">
        <v>638</v>
      </c>
      <c r="G114" s="886">
        <f t="shared" si="2"/>
        <v>0</v>
      </c>
      <c r="H114" s="882"/>
      <c r="I114" s="905"/>
      <c r="J114" s="1037"/>
      <c r="K114" s="936"/>
      <c r="L114" s="936"/>
      <c r="M114" s="936"/>
      <c r="N114" s="936"/>
      <c r="O114" s="936"/>
      <c r="P114" s="936"/>
      <c r="Q114" s="936"/>
      <c r="R114" s="936"/>
      <c r="S114" s="936"/>
      <c r="T114" s="936"/>
      <c r="U114" s="936"/>
      <c r="V114" s="936"/>
    </row>
    <row r="115" spans="1:27" s="216" customFormat="1" ht="40.200000000000003" hidden="1" thickBot="1" x14ac:dyDescent="0.35">
      <c r="A115" s="902" t="s">
        <v>720</v>
      </c>
      <c r="B115" s="903" t="s">
        <v>194</v>
      </c>
      <c r="C115" s="901" t="s">
        <v>53</v>
      </c>
      <c r="D115" s="901" t="s">
        <v>52</v>
      </c>
      <c r="E115" s="901" t="s">
        <v>641</v>
      </c>
      <c r="F115" s="901" t="s">
        <v>638</v>
      </c>
      <c r="G115" s="904">
        <f t="shared" si="2"/>
        <v>0</v>
      </c>
      <c r="H115" s="937"/>
      <c r="I115" s="905"/>
      <c r="J115" s="1037"/>
      <c r="K115" s="936"/>
      <c r="L115" s="936"/>
      <c r="M115" s="936"/>
      <c r="N115" s="936"/>
      <c r="O115" s="936"/>
      <c r="P115" s="936"/>
      <c r="Q115" s="936"/>
      <c r="R115" s="936"/>
      <c r="S115" s="936"/>
      <c r="T115" s="936"/>
      <c r="U115" s="936"/>
      <c r="V115" s="936"/>
    </row>
    <row r="116" spans="1:27" ht="34.200000000000003" customHeight="1" x14ac:dyDescent="0.3">
      <c r="A116" s="938" t="s">
        <v>119</v>
      </c>
      <c r="B116" s="939"/>
      <c r="C116" s="940"/>
      <c r="D116" s="940" t="s">
        <v>118</v>
      </c>
      <c r="E116" s="941"/>
      <c r="F116" s="942"/>
      <c r="G116" s="943">
        <f>G117</f>
        <v>89158510.170000002</v>
      </c>
      <c r="H116" s="943">
        <f>H117</f>
        <v>24729330.170000002</v>
      </c>
      <c r="I116" s="943">
        <f>I117</f>
        <v>64429180</v>
      </c>
      <c r="J116" s="944">
        <f>J117</f>
        <v>12541355</v>
      </c>
      <c r="K116" s="859"/>
      <c r="L116" s="859"/>
      <c r="M116" s="859"/>
      <c r="N116" s="859"/>
      <c r="O116" s="859"/>
      <c r="P116" s="859"/>
      <c r="Q116" s="859"/>
      <c r="R116" s="859"/>
      <c r="S116" s="859"/>
      <c r="T116" s="859"/>
      <c r="U116" s="859"/>
      <c r="V116" s="859"/>
      <c r="AA116" s="679"/>
    </row>
    <row r="117" spans="1:27" ht="34.200000000000003" customHeight="1" thickBot="1" x14ac:dyDescent="0.35">
      <c r="A117" s="945" t="s">
        <v>514</v>
      </c>
      <c r="B117" s="946"/>
      <c r="C117" s="947"/>
      <c r="D117" s="947" t="s">
        <v>118</v>
      </c>
      <c r="E117" s="948"/>
      <c r="F117" s="949"/>
      <c r="G117" s="950">
        <f>SUM(G121:G147)-G122-G127-G124+G148+G149+G151+G120</f>
        <v>89158510.170000002</v>
      </c>
      <c r="H117" s="950">
        <f>SUM(H121:H147)-H122-H127-H124+H148+H149+H151+H120</f>
        <v>24729330.170000002</v>
      </c>
      <c r="I117" s="950">
        <f>SUM(I121:I147)-I122-I127-I124+I148+I149+I151+I120</f>
        <v>64429180</v>
      </c>
      <c r="J117" s="1040">
        <f>SUM(J121:J147)-J122-J127-J124+J148+J149+J151+J120</f>
        <v>12541355</v>
      </c>
      <c r="K117" s="859"/>
      <c r="L117" s="859"/>
      <c r="M117" s="859"/>
      <c r="N117" s="859"/>
      <c r="O117" s="859"/>
      <c r="P117" s="859"/>
      <c r="Q117" s="859"/>
      <c r="R117" s="859"/>
      <c r="S117" s="859"/>
      <c r="T117" s="859"/>
      <c r="U117" s="859"/>
      <c r="V117" s="859"/>
      <c r="AA117" s="679"/>
    </row>
    <row r="118" spans="1:27" ht="34.200000000000003" hidden="1" customHeight="1" x14ac:dyDescent="0.3">
      <c r="A118" s="951"/>
      <c r="B118" s="952"/>
      <c r="C118" s="953"/>
      <c r="D118" s="953" t="s">
        <v>49</v>
      </c>
      <c r="E118" s="954"/>
      <c r="F118" s="955"/>
      <c r="G118" s="956">
        <f>G141</f>
        <v>0</v>
      </c>
      <c r="H118" s="956">
        <f>H141</f>
        <v>0</v>
      </c>
      <c r="I118" s="956">
        <f>I141</f>
        <v>0</v>
      </c>
      <c r="J118" s="1041">
        <f>J141</f>
        <v>0</v>
      </c>
      <c r="K118" s="859"/>
      <c r="L118" s="859"/>
      <c r="M118" s="859"/>
      <c r="N118" s="859"/>
      <c r="O118" s="859"/>
      <c r="P118" s="859"/>
      <c r="Q118" s="859"/>
      <c r="R118" s="859"/>
      <c r="S118" s="859"/>
      <c r="T118" s="859"/>
      <c r="U118" s="859"/>
      <c r="V118" s="859"/>
      <c r="AA118" s="679"/>
    </row>
    <row r="119" spans="1:27" ht="25.5" customHeight="1" x14ac:dyDescent="0.3">
      <c r="A119" s="957"/>
      <c r="B119" s="958"/>
      <c r="C119" s="959"/>
      <c r="D119" s="960" t="s">
        <v>105</v>
      </c>
      <c r="E119" s="961"/>
      <c r="F119" s="959"/>
      <c r="G119" s="923">
        <f t="shared" ref="G119:G152" si="3">H119+I119</f>
        <v>5202268</v>
      </c>
      <c r="H119" s="924">
        <f>H122+H127</f>
        <v>5202268</v>
      </c>
      <c r="I119" s="924"/>
      <c r="J119" s="925"/>
      <c r="K119" s="859"/>
      <c r="L119" s="859"/>
      <c r="M119" s="859"/>
      <c r="N119" s="859"/>
      <c r="O119" s="859"/>
      <c r="P119" s="859"/>
      <c r="Q119" s="859"/>
      <c r="R119" s="859"/>
      <c r="S119" s="859"/>
      <c r="T119" s="859"/>
      <c r="U119" s="859"/>
      <c r="V119" s="859"/>
    </row>
    <row r="120" spans="1:27" ht="39.6" x14ac:dyDescent="0.3">
      <c r="A120" s="697" t="s">
        <v>515</v>
      </c>
      <c r="B120" s="698" t="s">
        <v>44</v>
      </c>
      <c r="C120" s="698" t="s">
        <v>43</v>
      </c>
      <c r="D120" s="699" t="s">
        <v>580</v>
      </c>
      <c r="E120" s="879" t="s">
        <v>1097</v>
      </c>
      <c r="F120" s="879" t="s">
        <v>1098</v>
      </c>
      <c r="G120" s="898">
        <f t="shared" si="3"/>
        <v>40000</v>
      </c>
      <c r="H120" s="924">
        <f>40000-40000</f>
        <v>0</v>
      </c>
      <c r="I120" s="924">
        <v>40000</v>
      </c>
      <c r="J120" s="1236">
        <v>40000</v>
      </c>
      <c r="K120" s="859"/>
      <c r="L120" s="859"/>
      <c r="M120" s="859"/>
      <c r="N120" s="859"/>
      <c r="O120" s="859"/>
      <c r="P120" s="859"/>
      <c r="Q120" s="859"/>
      <c r="R120" s="859"/>
      <c r="S120" s="859"/>
      <c r="T120" s="859"/>
      <c r="U120" s="859"/>
      <c r="V120" s="859"/>
    </row>
    <row r="121" spans="1:27" ht="68.25" customHeight="1" x14ac:dyDescent="0.3">
      <c r="A121" s="895" t="s">
        <v>115</v>
      </c>
      <c r="B121" s="896" t="s">
        <v>114</v>
      </c>
      <c r="C121" s="897" t="s">
        <v>113</v>
      </c>
      <c r="D121" s="897" t="s">
        <v>112</v>
      </c>
      <c r="E121" s="890" t="s">
        <v>1185</v>
      </c>
      <c r="F121" s="890" t="s">
        <v>1186</v>
      </c>
      <c r="G121" s="898">
        <f t="shared" si="3"/>
        <v>11080000</v>
      </c>
      <c r="H121" s="899">
        <f>9880000+200000+1000000</f>
        <v>11080000</v>
      </c>
      <c r="I121" s="899"/>
      <c r="J121" s="900"/>
      <c r="K121" s="962">
        <f>H121-H122</f>
        <v>9530000</v>
      </c>
      <c r="L121" s="962">
        <f>I121-I122</f>
        <v>0</v>
      </c>
      <c r="M121" s="962">
        <f>K121+L121</f>
        <v>9530000</v>
      </c>
      <c r="N121" s="859" t="s">
        <v>117</v>
      </c>
      <c r="O121" s="859"/>
      <c r="P121" s="859"/>
      <c r="Q121" s="859"/>
      <c r="R121" s="859"/>
      <c r="S121" s="859"/>
      <c r="T121" s="859"/>
      <c r="U121" s="859"/>
      <c r="V121" s="859"/>
    </row>
    <row r="122" spans="1:27" ht="30.75" customHeight="1" x14ac:dyDescent="0.3">
      <c r="A122" s="895"/>
      <c r="B122" s="896"/>
      <c r="C122" s="897"/>
      <c r="D122" s="897" t="s">
        <v>105</v>
      </c>
      <c r="E122" s="963"/>
      <c r="F122" s="964"/>
      <c r="G122" s="898">
        <f t="shared" si="3"/>
        <v>1550000</v>
      </c>
      <c r="H122" s="899">
        <f>1350000+200000</f>
        <v>1550000</v>
      </c>
      <c r="I122" s="899"/>
      <c r="J122" s="928"/>
      <c r="K122" s="962">
        <f>H121+H123</f>
        <v>12050000</v>
      </c>
      <c r="L122" s="859"/>
      <c r="M122" s="962">
        <f>K122+I121</f>
        <v>12050000</v>
      </c>
      <c r="N122" s="859" t="s">
        <v>116</v>
      </c>
      <c r="O122" s="859">
        <v>5089669.1500000004</v>
      </c>
      <c r="P122" s="962">
        <f>O122-K122</f>
        <v>-6960330.8499999996</v>
      </c>
      <c r="Q122" s="859"/>
      <c r="R122" s="859"/>
      <c r="S122" s="859"/>
      <c r="T122" s="859"/>
      <c r="U122" s="859"/>
      <c r="V122" s="962"/>
    </row>
    <row r="123" spans="1:27" ht="44.25" customHeight="1" x14ac:dyDescent="0.3">
      <c r="A123" s="895" t="s">
        <v>115</v>
      </c>
      <c r="B123" s="896" t="s">
        <v>114</v>
      </c>
      <c r="C123" s="897" t="s">
        <v>113</v>
      </c>
      <c r="D123" s="897" t="s">
        <v>112</v>
      </c>
      <c r="E123" s="965" t="s">
        <v>645</v>
      </c>
      <c r="F123" s="897" t="s">
        <v>643</v>
      </c>
      <c r="G123" s="898">
        <f t="shared" si="3"/>
        <v>970000</v>
      </c>
      <c r="H123" s="899">
        <f>970000</f>
        <v>970000</v>
      </c>
      <c r="I123" s="899"/>
      <c r="J123" s="928"/>
      <c r="K123" s="962">
        <f>H122+H123</f>
        <v>2520000</v>
      </c>
      <c r="L123" s="859"/>
      <c r="M123" s="962">
        <f>K123+I122</f>
        <v>2520000</v>
      </c>
      <c r="N123" s="859" t="s">
        <v>111</v>
      </c>
      <c r="O123" s="859"/>
      <c r="P123" s="859"/>
      <c r="Q123" s="859"/>
      <c r="R123" s="859"/>
      <c r="S123" s="859"/>
      <c r="T123" s="859"/>
      <c r="U123" s="859"/>
      <c r="V123" s="962"/>
    </row>
    <row r="124" spans="1:27" ht="26.4" hidden="1" x14ac:dyDescent="0.3">
      <c r="A124" s="895"/>
      <c r="B124" s="896"/>
      <c r="C124" s="897"/>
      <c r="D124" s="897" t="s">
        <v>105</v>
      </c>
      <c r="E124" s="963"/>
      <c r="F124" s="964"/>
      <c r="G124" s="898">
        <f t="shared" si="3"/>
        <v>0</v>
      </c>
      <c r="H124" s="899"/>
      <c r="I124" s="899"/>
      <c r="J124" s="928"/>
      <c r="K124" s="962">
        <f>K122-K123</f>
        <v>9530000</v>
      </c>
      <c r="L124" s="859"/>
      <c r="M124" s="962">
        <f>G121+G123</f>
        <v>12050000</v>
      </c>
      <c r="N124" s="859"/>
      <c r="O124" s="859"/>
      <c r="P124" s="859"/>
      <c r="Q124" s="859"/>
      <c r="R124" s="859"/>
      <c r="S124" s="859"/>
      <c r="T124" s="859"/>
      <c r="U124" s="859"/>
      <c r="V124" s="962"/>
    </row>
    <row r="125" spans="1:27" ht="26.4" hidden="1" x14ac:dyDescent="0.3">
      <c r="A125" s="895" t="s">
        <v>115</v>
      </c>
      <c r="B125" s="896" t="s">
        <v>114</v>
      </c>
      <c r="C125" s="897" t="s">
        <v>113</v>
      </c>
      <c r="D125" s="897" t="s">
        <v>112</v>
      </c>
      <c r="E125" s="879" t="s">
        <v>906</v>
      </c>
      <c r="F125" s="879" t="s">
        <v>913</v>
      </c>
      <c r="G125" s="898">
        <f t="shared" si="3"/>
        <v>0</v>
      </c>
      <c r="H125" s="899"/>
      <c r="I125" s="899"/>
      <c r="J125" s="928"/>
      <c r="K125" s="962"/>
      <c r="L125" s="859"/>
      <c r="M125" s="962"/>
      <c r="N125" s="859"/>
      <c r="O125" s="859"/>
      <c r="P125" s="859"/>
      <c r="Q125" s="859"/>
      <c r="R125" s="859"/>
      <c r="S125" s="859"/>
      <c r="T125" s="859"/>
      <c r="U125" s="859"/>
      <c r="V125" s="962"/>
    </row>
    <row r="126" spans="1:27" ht="75.75" customHeight="1" x14ac:dyDescent="0.3">
      <c r="A126" s="895" t="s">
        <v>110</v>
      </c>
      <c r="B126" s="896" t="s">
        <v>109</v>
      </c>
      <c r="C126" s="897" t="s">
        <v>108</v>
      </c>
      <c r="D126" s="897" t="s">
        <v>107</v>
      </c>
      <c r="E126" s="890" t="s">
        <v>1185</v>
      </c>
      <c r="F126" s="890" t="s">
        <v>1186</v>
      </c>
      <c r="G126" s="898">
        <f t="shared" si="3"/>
        <v>5446988</v>
      </c>
      <c r="H126" s="899">
        <f>4551300+60000+40000+303168+120000</f>
        <v>5074468</v>
      </c>
      <c r="I126" s="899">
        <f>258720+113800</f>
        <v>372520</v>
      </c>
      <c r="J126" s="900">
        <f>258720+113800</f>
        <v>372520</v>
      </c>
      <c r="K126" s="962">
        <f>H126</f>
        <v>5074468</v>
      </c>
      <c r="L126" s="859"/>
      <c r="M126" s="859"/>
      <c r="N126" s="859" t="s">
        <v>106</v>
      </c>
      <c r="O126" s="859">
        <v>3916269</v>
      </c>
      <c r="P126" s="962">
        <f>O126-K126</f>
        <v>-1158199</v>
      </c>
      <c r="Q126" s="859"/>
      <c r="R126" s="859"/>
      <c r="S126" s="859"/>
      <c r="T126" s="859"/>
      <c r="U126" s="859"/>
      <c r="V126" s="962"/>
    </row>
    <row r="127" spans="1:27" s="859" customFormat="1" ht="28.5" customHeight="1" x14ac:dyDescent="0.25">
      <c r="A127" s="895"/>
      <c r="B127" s="896"/>
      <c r="C127" s="897"/>
      <c r="D127" s="897" t="s">
        <v>105</v>
      </c>
      <c r="E127" s="966"/>
      <c r="F127" s="1179"/>
      <c r="G127" s="898">
        <f t="shared" si="3"/>
        <v>4024788</v>
      </c>
      <c r="H127" s="899">
        <f>3229100+60000+40000+303168+20000</f>
        <v>3652268</v>
      </c>
      <c r="I127" s="899">
        <f>258720+113800</f>
        <v>372520</v>
      </c>
      <c r="J127" s="900">
        <f>258720+113800</f>
        <v>372520</v>
      </c>
      <c r="K127" s="962">
        <f>H126-H127</f>
        <v>1422200</v>
      </c>
      <c r="N127" s="859" t="s">
        <v>104</v>
      </c>
    </row>
    <row r="128" spans="1:27" s="859" customFormat="1" ht="42" customHeight="1" x14ac:dyDescent="0.25">
      <c r="A128" s="895" t="s">
        <v>110</v>
      </c>
      <c r="B128" s="896" t="s">
        <v>109</v>
      </c>
      <c r="C128" s="897" t="s">
        <v>108</v>
      </c>
      <c r="D128" s="897" t="s">
        <v>107</v>
      </c>
      <c r="E128" s="965" t="s">
        <v>645</v>
      </c>
      <c r="F128" s="897" t="s">
        <v>643</v>
      </c>
      <c r="G128" s="898">
        <f t="shared" si="3"/>
        <v>168000</v>
      </c>
      <c r="H128" s="899">
        <f>156000+12000</f>
        <v>168000</v>
      </c>
      <c r="I128" s="899"/>
      <c r="J128" s="928"/>
      <c r="K128" s="962"/>
    </row>
    <row r="129" spans="1:14" s="859" customFormat="1" ht="28.5" hidden="1" customHeight="1" x14ac:dyDescent="0.25">
      <c r="A129" s="967"/>
      <c r="B129" s="968"/>
      <c r="C129" s="969"/>
      <c r="D129" s="969" t="s">
        <v>99</v>
      </c>
      <c r="E129" s="970"/>
      <c r="F129" s="969"/>
      <c r="G129" s="898">
        <f t="shared" si="3"/>
        <v>0</v>
      </c>
      <c r="H129" s="899"/>
      <c r="I129" s="899"/>
      <c r="J129" s="928"/>
      <c r="K129" s="962"/>
    </row>
    <row r="130" spans="1:14" s="859" customFormat="1" ht="52.8" hidden="1" x14ac:dyDescent="0.25">
      <c r="A130" s="967"/>
      <c r="B130" s="968"/>
      <c r="C130" s="969"/>
      <c r="D130" s="969" t="s">
        <v>98</v>
      </c>
      <c r="E130" s="970"/>
      <c r="F130" s="969"/>
      <c r="G130" s="898">
        <f t="shared" si="3"/>
        <v>0</v>
      </c>
      <c r="H130" s="899"/>
      <c r="I130" s="899"/>
      <c r="J130" s="928"/>
      <c r="K130" s="962"/>
    </row>
    <row r="131" spans="1:14" s="859" customFormat="1" ht="26.4" x14ac:dyDescent="0.25">
      <c r="A131" s="895" t="s">
        <v>97</v>
      </c>
      <c r="B131" s="896" t="s">
        <v>96</v>
      </c>
      <c r="C131" s="897" t="s">
        <v>95</v>
      </c>
      <c r="D131" s="897" t="s">
        <v>94</v>
      </c>
      <c r="E131" s="879" t="s">
        <v>644</v>
      </c>
      <c r="F131" s="879" t="s">
        <v>1159</v>
      </c>
      <c r="G131" s="898">
        <f t="shared" si="3"/>
        <v>1000</v>
      </c>
      <c r="H131" s="899">
        <v>1000</v>
      </c>
      <c r="I131" s="899"/>
      <c r="J131" s="928"/>
      <c r="K131" s="962">
        <f>K122+K126</f>
        <v>17124468</v>
      </c>
      <c r="M131" s="962">
        <f>K126+M124</f>
        <v>17124468</v>
      </c>
      <c r="N131" s="859" t="s">
        <v>93</v>
      </c>
    </row>
    <row r="132" spans="1:14" s="859" customFormat="1" ht="52.8" hidden="1" x14ac:dyDescent="0.25">
      <c r="A132" s="895" t="s">
        <v>92</v>
      </c>
      <c r="B132" s="896" t="s">
        <v>91</v>
      </c>
      <c r="C132" s="897" t="s">
        <v>90</v>
      </c>
      <c r="D132" s="897" t="s">
        <v>89</v>
      </c>
      <c r="E132" s="879" t="s">
        <v>644</v>
      </c>
      <c r="F132" s="879" t="s">
        <v>932</v>
      </c>
      <c r="G132" s="898">
        <f t="shared" si="3"/>
        <v>0</v>
      </c>
      <c r="H132" s="899"/>
      <c r="I132" s="899"/>
      <c r="J132" s="928"/>
      <c r="K132" s="962">
        <f>K127+K121</f>
        <v>10952200</v>
      </c>
      <c r="L132" s="962">
        <f>L127+L121</f>
        <v>0</v>
      </c>
      <c r="M132" s="962">
        <f>K132+L132</f>
        <v>10952200</v>
      </c>
      <c r="N132" s="859" t="s">
        <v>88</v>
      </c>
    </row>
    <row r="133" spans="1:14" s="859" customFormat="1" ht="52.8" x14ac:dyDescent="0.25">
      <c r="A133" s="895" t="s">
        <v>92</v>
      </c>
      <c r="B133" s="896" t="s">
        <v>91</v>
      </c>
      <c r="C133" s="897" t="s">
        <v>90</v>
      </c>
      <c r="D133" s="897" t="s">
        <v>89</v>
      </c>
      <c r="E133" s="879" t="s">
        <v>1097</v>
      </c>
      <c r="F133" s="879" t="s">
        <v>1098</v>
      </c>
      <c r="G133" s="898">
        <f t="shared" si="3"/>
        <v>58540</v>
      </c>
      <c r="H133" s="899">
        <v>58540</v>
      </c>
      <c r="I133" s="899"/>
      <c r="J133" s="928"/>
      <c r="K133" s="962">
        <f>K123+H127</f>
        <v>6172268</v>
      </c>
      <c r="L133" s="962">
        <f>I122</f>
        <v>0</v>
      </c>
      <c r="M133" s="962">
        <f>K133+L133</f>
        <v>6172268</v>
      </c>
      <c r="N133" s="859" t="s">
        <v>81</v>
      </c>
    </row>
    <row r="134" spans="1:14" s="859" customFormat="1" ht="54" customHeight="1" x14ac:dyDescent="0.25">
      <c r="A134" s="895" t="s">
        <v>92</v>
      </c>
      <c r="B134" s="896" t="s">
        <v>91</v>
      </c>
      <c r="C134" s="897" t="s">
        <v>90</v>
      </c>
      <c r="D134" s="897" t="s">
        <v>89</v>
      </c>
      <c r="E134" s="879" t="s">
        <v>652</v>
      </c>
      <c r="F134" s="879" t="s">
        <v>655</v>
      </c>
      <c r="G134" s="886">
        <f t="shared" si="3"/>
        <v>16890</v>
      </c>
      <c r="H134" s="882">
        <v>16890</v>
      </c>
      <c r="I134" s="882"/>
      <c r="J134" s="887"/>
      <c r="K134" s="962"/>
      <c r="L134" s="962"/>
      <c r="M134" s="962"/>
    </row>
    <row r="135" spans="1:14" s="859" customFormat="1" ht="66" x14ac:dyDescent="0.25">
      <c r="A135" s="895" t="s">
        <v>516</v>
      </c>
      <c r="B135" s="896">
        <v>3121</v>
      </c>
      <c r="C135" s="897">
        <v>1040</v>
      </c>
      <c r="D135" s="218" t="s">
        <v>1175</v>
      </c>
      <c r="E135" s="879" t="s">
        <v>652</v>
      </c>
      <c r="F135" s="879" t="s">
        <v>655</v>
      </c>
      <c r="G135" s="886">
        <f>H135+I135</f>
        <v>3600</v>
      </c>
      <c r="H135" s="882">
        <v>3600</v>
      </c>
      <c r="I135" s="882"/>
      <c r="J135" s="887"/>
      <c r="K135" s="962"/>
      <c r="L135" s="962"/>
      <c r="M135" s="962"/>
    </row>
    <row r="136" spans="1:14" s="859" customFormat="1" ht="54.75" customHeight="1" x14ac:dyDescent="0.25">
      <c r="A136" s="895" t="s">
        <v>87</v>
      </c>
      <c r="B136" s="896" t="s">
        <v>86</v>
      </c>
      <c r="C136" s="897" t="s">
        <v>85</v>
      </c>
      <c r="D136" s="218" t="s">
        <v>84</v>
      </c>
      <c r="E136" s="1283" t="s">
        <v>1402</v>
      </c>
      <c r="F136" s="1283" t="s">
        <v>915</v>
      </c>
      <c r="G136" s="886">
        <f>H136+I136</f>
        <v>630000</v>
      </c>
      <c r="H136" s="882">
        <v>630000</v>
      </c>
      <c r="I136" s="882"/>
      <c r="J136" s="887"/>
      <c r="K136" s="962"/>
      <c r="L136" s="962"/>
      <c r="M136" s="962"/>
    </row>
    <row r="137" spans="1:14" s="859" customFormat="1" ht="68.25" customHeight="1" x14ac:dyDescent="0.25">
      <c r="A137" s="971" t="s">
        <v>80</v>
      </c>
      <c r="B137" s="896" t="s">
        <v>79</v>
      </c>
      <c r="C137" s="897" t="s">
        <v>78</v>
      </c>
      <c r="D137" s="897" t="s">
        <v>77</v>
      </c>
      <c r="E137" s="879" t="s">
        <v>644</v>
      </c>
      <c r="F137" s="879" t="s">
        <v>1159</v>
      </c>
      <c r="G137" s="898">
        <f t="shared" si="3"/>
        <v>135000</v>
      </c>
      <c r="H137" s="899">
        <v>135000</v>
      </c>
      <c r="I137" s="899"/>
      <c r="J137" s="928"/>
    </row>
    <row r="138" spans="1:14" s="859" customFormat="1" ht="29.25" customHeight="1" x14ac:dyDescent="0.25">
      <c r="A138" s="971" t="s">
        <v>76</v>
      </c>
      <c r="B138" s="896" t="s">
        <v>75</v>
      </c>
      <c r="C138" s="897" t="s">
        <v>74</v>
      </c>
      <c r="D138" s="897" t="s">
        <v>73</v>
      </c>
      <c r="E138" s="879" t="s">
        <v>644</v>
      </c>
      <c r="F138" s="879" t="s">
        <v>1159</v>
      </c>
      <c r="G138" s="898">
        <f t="shared" si="3"/>
        <v>10800</v>
      </c>
      <c r="H138" s="899">
        <v>10800</v>
      </c>
      <c r="I138" s="899"/>
      <c r="J138" s="928"/>
    </row>
    <row r="139" spans="1:14" s="859" customFormat="1" ht="39.6" x14ac:dyDescent="0.25">
      <c r="A139" s="971" t="s">
        <v>72</v>
      </c>
      <c r="B139" s="896">
        <v>3192</v>
      </c>
      <c r="C139" s="972">
        <v>1030</v>
      </c>
      <c r="D139" s="897" t="s">
        <v>71</v>
      </c>
      <c r="E139" s="879" t="s">
        <v>644</v>
      </c>
      <c r="F139" s="879" t="s">
        <v>1159</v>
      </c>
      <c r="G139" s="898">
        <f t="shared" si="3"/>
        <v>51000</v>
      </c>
      <c r="H139" s="899">
        <v>51000</v>
      </c>
      <c r="I139" s="899"/>
      <c r="J139" s="928"/>
    </row>
    <row r="140" spans="1:14" s="859" customFormat="1" ht="52.8" x14ac:dyDescent="0.25">
      <c r="A140" s="971" t="s">
        <v>1014</v>
      </c>
      <c r="B140" s="896" t="s">
        <v>1015</v>
      </c>
      <c r="C140" s="972">
        <v>1030</v>
      </c>
      <c r="D140" s="897" t="s">
        <v>1016</v>
      </c>
      <c r="E140" s="890" t="s">
        <v>1099</v>
      </c>
      <c r="F140" s="890" t="s">
        <v>1100</v>
      </c>
      <c r="G140" s="898">
        <f t="shared" si="3"/>
        <v>755854</v>
      </c>
      <c r="H140" s="901">
        <v>755854</v>
      </c>
      <c r="I140" s="899"/>
      <c r="J140" s="928"/>
    </row>
    <row r="141" spans="1:14" s="859" customFormat="1" ht="250.8" hidden="1" x14ac:dyDescent="0.25">
      <c r="A141" s="971" t="s">
        <v>937</v>
      </c>
      <c r="B141" s="896" t="s">
        <v>938</v>
      </c>
      <c r="C141" s="972" t="s">
        <v>942</v>
      </c>
      <c r="D141" s="897" t="s">
        <v>936</v>
      </c>
      <c r="E141" s="901" t="s">
        <v>914</v>
      </c>
      <c r="F141" s="901" t="s">
        <v>915</v>
      </c>
      <c r="G141" s="898">
        <f t="shared" si="3"/>
        <v>0</v>
      </c>
      <c r="H141" s="899"/>
      <c r="I141" s="899"/>
      <c r="J141" s="900"/>
    </row>
    <row r="142" spans="1:14" s="859" customFormat="1" ht="41.25" customHeight="1" x14ac:dyDescent="0.25">
      <c r="A142" s="971" t="s">
        <v>599</v>
      </c>
      <c r="B142" s="896">
        <v>3230</v>
      </c>
      <c r="C142" s="897" t="s">
        <v>95</v>
      </c>
      <c r="D142" s="897" t="s">
        <v>604</v>
      </c>
      <c r="E142" s="879" t="s">
        <v>1200</v>
      </c>
      <c r="F142" s="879" t="s">
        <v>1203</v>
      </c>
      <c r="G142" s="898">
        <f t="shared" si="3"/>
        <v>80000</v>
      </c>
      <c r="H142" s="899">
        <v>80000</v>
      </c>
      <c r="I142" s="899"/>
      <c r="J142" s="928"/>
    </row>
    <row r="143" spans="1:14" s="859" customFormat="1" ht="44.4" customHeight="1" x14ac:dyDescent="0.25">
      <c r="A143" s="971" t="s">
        <v>628</v>
      </c>
      <c r="B143" s="896">
        <v>3241</v>
      </c>
      <c r="C143" s="897" t="s">
        <v>63</v>
      </c>
      <c r="D143" s="897" t="s">
        <v>1176</v>
      </c>
      <c r="E143" s="879" t="s">
        <v>1200</v>
      </c>
      <c r="F143" s="879" t="s">
        <v>1203</v>
      </c>
      <c r="G143" s="898">
        <f t="shared" si="3"/>
        <v>2891628.17</v>
      </c>
      <c r="H143" s="899">
        <f>2585992+81543+74148+49951.17+99994</f>
        <v>2891628.17</v>
      </c>
      <c r="I143" s="899"/>
      <c r="J143" s="928"/>
    </row>
    <row r="144" spans="1:14" s="859" customFormat="1" ht="46.5" customHeight="1" x14ac:dyDescent="0.25">
      <c r="A144" s="971" t="s">
        <v>628</v>
      </c>
      <c r="B144" s="896">
        <v>3241</v>
      </c>
      <c r="C144" s="897" t="s">
        <v>63</v>
      </c>
      <c r="D144" s="897" t="s">
        <v>1176</v>
      </c>
      <c r="E144" s="879" t="s">
        <v>652</v>
      </c>
      <c r="F144" s="879" t="s">
        <v>655</v>
      </c>
      <c r="G144" s="886">
        <f t="shared" si="3"/>
        <v>2550</v>
      </c>
      <c r="H144" s="882">
        <v>2550</v>
      </c>
      <c r="I144" s="882"/>
      <c r="J144" s="887"/>
    </row>
    <row r="145" spans="1:27" s="859" customFormat="1" ht="32.25" customHeight="1" x14ac:dyDescent="0.25">
      <c r="A145" s="971" t="s">
        <v>65</v>
      </c>
      <c r="B145" s="896" t="s">
        <v>64</v>
      </c>
      <c r="C145" s="897" t="s">
        <v>63</v>
      </c>
      <c r="D145" s="897" t="s">
        <v>62</v>
      </c>
      <c r="E145" s="890" t="s">
        <v>1099</v>
      </c>
      <c r="F145" s="890" t="s">
        <v>1100</v>
      </c>
      <c r="G145" s="898">
        <f t="shared" si="3"/>
        <v>2000000</v>
      </c>
      <c r="H145" s="899">
        <f>1000000+2000000-1000000</f>
        <v>2000000</v>
      </c>
      <c r="I145" s="899"/>
      <c r="J145" s="928"/>
    </row>
    <row r="146" spans="1:27" s="859" customFormat="1" ht="26.4" x14ac:dyDescent="0.25">
      <c r="A146" s="971" t="s">
        <v>65</v>
      </c>
      <c r="B146" s="896" t="s">
        <v>64</v>
      </c>
      <c r="C146" s="897" t="s">
        <v>63</v>
      </c>
      <c r="D146" s="897" t="s">
        <v>62</v>
      </c>
      <c r="E146" s="879" t="s">
        <v>1133</v>
      </c>
      <c r="F146" s="879" t="s">
        <v>1134</v>
      </c>
      <c r="G146" s="898">
        <f t="shared" si="3"/>
        <v>300000</v>
      </c>
      <c r="H146" s="899">
        <v>300000</v>
      </c>
      <c r="I146" s="899"/>
      <c r="J146" s="928"/>
    </row>
    <row r="147" spans="1:27" s="859" customFormat="1" ht="29.25" customHeight="1" x14ac:dyDescent="0.25">
      <c r="A147" s="971" t="s">
        <v>65</v>
      </c>
      <c r="B147" s="896" t="s">
        <v>64</v>
      </c>
      <c r="C147" s="897" t="s">
        <v>63</v>
      </c>
      <c r="D147" s="897" t="s">
        <v>62</v>
      </c>
      <c r="E147" s="879" t="s">
        <v>642</v>
      </c>
      <c r="F147" s="879" t="s">
        <v>1159</v>
      </c>
      <c r="G147" s="898">
        <f t="shared" si="3"/>
        <v>500000</v>
      </c>
      <c r="H147" s="899">
        <v>500000</v>
      </c>
      <c r="I147" s="899"/>
      <c r="J147" s="928"/>
    </row>
    <row r="148" spans="1:27" s="859" customFormat="1" ht="66" hidden="1" x14ac:dyDescent="0.25">
      <c r="A148" s="973" t="s">
        <v>59</v>
      </c>
      <c r="B148" s="968" t="s">
        <v>58</v>
      </c>
      <c r="C148" s="969" t="s">
        <v>57</v>
      </c>
      <c r="D148" s="969" t="s">
        <v>56</v>
      </c>
      <c r="E148" s="885" t="s">
        <v>55</v>
      </c>
      <c r="F148" s="934" t="s">
        <v>54</v>
      </c>
      <c r="G148" s="898">
        <f t="shared" si="3"/>
        <v>0</v>
      </c>
      <c r="H148" s="899"/>
      <c r="I148" s="899"/>
      <c r="J148" s="928"/>
    </row>
    <row r="149" spans="1:27" s="859" customFormat="1" ht="66" hidden="1" x14ac:dyDescent="0.25">
      <c r="A149" s="973"/>
      <c r="B149" s="968">
        <v>7363</v>
      </c>
      <c r="C149" s="974" t="s">
        <v>53</v>
      </c>
      <c r="D149" s="969" t="s">
        <v>52</v>
      </c>
      <c r="E149" s="885" t="s">
        <v>51</v>
      </c>
      <c r="F149" s="969" t="s">
        <v>50</v>
      </c>
      <c r="G149" s="898">
        <f t="shared" si="3"/>
        <v>0</v>
      </c>
      <c r="H149" s="899"/>
      <c r="I149" s="899"/>
      <c r="J149" s="928"/>
    </row>
    <row r="150" spans="1:27" s="859" customFormat="1" ht="26.4" hidden="1" x14ac:dyDescent="0.25">
      <c r="A150" s="975"/>
      <c r="B150" s="976"/>
      <c r="C150" s="977"/>
      <c r="D150" s="977" t="s">
        <v>49</v>
      </c>
      <c r="E150" s="978"/>
      <c r="F150" s="979"/>
      <c r="G150" s="908">
        <f t="shared" si="3"/>
        <v>0</v>
      </c>
      <c r="H150" s="980"/>
      <c r="I150" s="980"/>
      <c r="J150" s="981"/>
    </row>
    <row r="151" spans="1:27" s="859" customFormat="1" ht="26.4" x14ac:dyDescent="0.25">
      <c r="A151" s="971" t="s">
        <v>726</v>
      </c>
      <c r="B151" s="896" t="s">
        <v>727</v>
      </c>
      <c r="C151" s="897" t="s">
        <v>53</v>
      </c>
      <c r="D151" s="897" t="s">
        <v>728</v>
      </c>
      <c r="E151" s="879" t="s">
        <v>1097</v>
      </c>
      <c r="F151" s="879" t="s">
        <v>1098</v>
      </c>
      <c r="G151" s="898">
        <f t="shared" si="3"/>
        <v>64016660</v>
      </c>
      <c r="H151" s="899"/>
      <c r="I151" s="1209">
        <f>7000000+3468984+51887825+1659851</f>
        <v>64016660</v>
      </c>
      <c r="J151" s="1237">
        <f>7000000+3468984+1659851</f>
        <v>12128835</v>
      </c>
      <c r="AA151" s="982"/>
    </row>
    <row r="152" spans="1:27" s="859" customFormat="1" ht="27" thickBot="1" x14ac:dyDescent="0.3">
      <c r="A152" s="971"/>
      <c r="B152" s="896"/>
      <c r="C152" s="897"/>
      <c r="D152" s="897" t="s">
        <v>49</v>
      </c>
      <c r="E152" s="983"/>
      <c r="F152" s="984"/>
      <c r="G152" s="898">
        <f t="shared" si="3"/>
        <v>51887825</v>
      </c>
      <c r="H152" s="899"/>
      <c r="I152" s="899">
        <v>51887825</v>
      </c>
      <c r="J152" s="900"/>
    </row>
    <row r="153" spans="1:27" s="859" customFormat="1" ht="13.2" hidden="1" x14ac:dyDescent="0.25">
      <c r="A153" s="985"/>
      <c r="B153" s="986"/>
      <c r="C153" s="987"/>
      <c r="D153" s="987"/>
      <c r="E153" s="988"/>
      <c r="F153" s="989"/>
      <c r="G153" s="990"/>
      <c r="H153" s="991"/>
      <c r="I153" s="991"/>
      <c r="J153" s="992"/>
    </row>
    <row r="154" spans="1:27" s="859" customFormat="1" ht="13.8" hidden="1" thickBot="1" x14ac:dyDescent="0.3">
      <c r="A154" s="985"/>
      <c r="B154" s="986"/>
      <c r="C154" s="987"/>
      <c r="D154" s="987"/>
      <c r="E154" s="988"/>
      <c r="F154" s="989"/>
      <c r="G154" s="990"/>
      <c r="H154" s="991"/>
      <c r="I154" s="991"/>
      <c r="J154" s="992"/>
    </row>
    <row r="155" spans="1:27" s="859" customFormat="1" ht="32.25" customHeight="1" x14ac:dyDescent="0.25">
      <c r="A155" s="938" t="s">
        <v>48</v>
      </c>
      <c r="B155" s="939" t="s">
        <v>46</v>
      </c>
      <c r="C155" s="940" t="s">
        <v>46</v>
      </c>
      <c r="D155" s="940" t="s">
        <v>47</v>
      </c>
      <c r="E155" s="993" t="s">
        <v>46</v>
      </c>
      <c r="F155" s="940" t="s">
        <v>46</v>
      </c>
      <c r="G155" s="994">
        <f>SUM(G157:G170)</f>
        <v>1865461</v>
      </c>
      <c r="H155" s="994">
        <f>SUM(H157:H170)</f>
        <v>1751021</v>
      </c>
      <c r="I155" s="994">
        <f>SUM(I157:I170)</f>
        <v>114440</v>
      </c>
      <c r="J155" s="995">
        <f>SUM(J157:J170)</f>
        <v>0</v>
      </c>
    </row>
    <row r="156" spans="1:27" s="859" customFormat="1" ht="32.25" customHeight="1" thickBot="1" x14ac:dyDescent="0.3">
      <c r="A156" s="945" t="s">
        <v>520</v>
      </c>
      <c r="B156" s="946" t="s">
        <v>46</v>
      </c>
      <c r="C156" s="947" t="s">
        <v>46</v>
      </c>
      <c r="D156" s="947" t="s">
        <v>47</v>
      </c>
      <c r="E156" s="996"/>
      <c r="F156" s="947"/>
      <c r="G156" s="997">
        <f>SUM(G157:G170)</f>
        <v>1865461</v>
      </c>
      <c r="H156" s="997">
        <f>SUM(H157:H170)</f>
        <v>1751021</v>
      </c>
      <c r="I156" s="997">
        <f>SUM(I157:I170)</f>
        <v>114440</v>
      </c>
      <c r="J156" s="998">
        <f>SUM(J157:J170)</f>
        <v>0</v>
      </c>
    </row>
    <row r="157" spans="1:27" s="859" customFormat="1" ht="39.6" hidden="1" x14ac:dyDescent="0.25">
      <c r="A157" s="999" t="s">
        <v>45</v>
      </c>
      <c r="B157" s="1000" t="s">
        <v>44</v>
      </c>
      <c r="C157" s="960" t="s">
        <v>43</v>
      </c>
      <c r="D157" s="422" t="s">
        <v>42</v>
      </c>
      <c r="E157" s="878" t="s">
        <v>11</v>
      </c>
      <c r="F157" s="960" t="s">
        <v>10</v>
      </c>
      <c r="G157" s="923">
        <f t="shared" ref="G157:G170" si="4">H157+I157</f>
        <v>0</v>
      </c>
      <c r="H157" s="923">
        <v>0</v>
      </c>
      <c r="I157" s="924">
        <v>0</v>
      </c>
      <c r="J157" s="925">
        <v>0</v>
      </c>
    </row>
    <row r="158" spans="1:27" s="859" customFormat="1" ht="30.75" customHeight="1" x14ac:dyDescent="0.25">
      <c r="A158" s="895" t="s">
        <v>41</v>
      </c>
      <c r="B158" s="896" t="s">
        <v>40</v>
      </c>
      <c r="C158" s="897" t="s">
        <v>39</v>
      </c>
      <c r="D158" s="897" t="s">
        <v>851</v>
      </c>
      <c r="E158" s="879" t="s">
        <v>1097</v>
      </c>
      <c r="F158" s="879" t="s">
        <v>1098</v>
      </c>
      <c r="G158" s="898">
        <f t="shared" si="4"/>
        <v>74793</v>
      </c>
      <c r="H158" s="899"/>
      <c r="I158" s="882">
        <v>74793</v>
      </c>
      <c r="J158" s="928"/>
    </row>
    <row r="159" spans="1:27" s="859" customFormat="1" ht="37.5" customHeight="1" x14ac:dyDescent="0.25">
      <c r="A159" s="895" t="s">
        <v>41</v>
      </c>
      <c r="B159" s="896" t="s">
        <v>40</v>
      </c>
      <c r="C159" s="897" t="s">
        <v>39</v>
      </c>
      <c r="D159" s="897" t="s">
        <v>851</v>
      </c>
      <c r="E159" s="879" t="s">
        <v>1196</v>
      </c>
      <c r="F159" s="879" t="s">
        <v>1101</v>
      </c>
      <c r="G159" s="898">
        <f t="shared" si="4"/>
        <v>628756</v>
      </c>
      <c r="H159" s="899">
        <v>621556</v>
      </c>
      <c r="I159" s="882">
        <v>7200</v>
      </c>
      <c r="J159" s="928"/>
    </row>
    <row r="160" spans="1:27" s="859" customFormat="1" ht="54.75" customHeight="1" x14ac:dyDescent="0.25">
      <c r="A160" s="895" t="s">
        <v>41</v>
      </c>
      <c r="B160" s="896" t="s">
        <v>40</v>
      </c>
      <c r="C160" s="897" t="s">
        <v>39</v>
      </c>
      <c r="D160" s="897" t="s">
        <v>851</v>
      </c>
      <c r="E160" s="879" t="s">
        <v>652</v>
      </c>
      <c r="F160" s="879" t="s">
        <v>655</v>
      </c>
      <c r="G160" s="886">
        <f t="shared" si="4"/>
        <v>8007</v>
      </c>
      <c r="H160" s="882"/>
      <c r="I160" s="882">
        <v>8007</v>
      </c>
      <c r="J160" s="887"/>
    </row>
    <row r="161" spans="1:27" s="859" customFormat="1" ht="29.25" customHeight="1" x14ac:dyDescent="0.25">
      <c r="A161" s="895" t="s">
        <v>38</v>
      </c>
      <c r="B161" s="896" t="s">
        <v>37</v>
      </c>
      <c r="C161" s="897" t="s">
        <v>36</v>
      </c>
      <c r="D161" s="897" t="s">
        <v>35</v>
      </c>
      <c r="E161" s="879" t="s">
        <v>1097</v>
      </c>
      <c r="F161" s="879" t="s">
        <v>1098</v>
      </c>
      <c r="G161" s="898">
        <f t="shared" si="4"/>
        <v>5000</v>
      </c>
      <c r="H161" s="899"/>
      <c r="I161" s="899">
        <v>5000</v>
      </c>
      <c r="J161" s="928"/>
    </row>
    <row r="162" spans="1:27" s="859" customFormat="1" ht="42" customHeight="1" x14ac:dyDescent="0.25">
      <c r="A162" s="895" t="s">
        <v>38</v>
      </c>
      <c r="B162" s="896" t="s">
        <v>37</v>
      </c>
      <c r="C162" s="897" t="s">
        <v>36</v>
      </c>
      <c r="D162" s="897" t="s">
        <v>35</v>
      </c>
      <c r="E162" s="879" t="s">
        <v>1196</v>
      </c>
      <c r="F162" s="879" t="s">
        <v>1101</v>
      </c>
      <c r="G162" s="898">
        <f t="shared" si="4"/>
        <v>20160</v>
      </c>
      <c r="H162" s="899">
        <v>20160</v>
      </c>
      <c r="I162" s="899"/>
      <c r="J162" s="928"/>
    </row>
    <row r="163" spans="1:27" s="859" customFormat="1" ht="47.25" customHeight="1" x14ac:dyDescent="0.25">
      <c r="A163" s="895" t="s">
        <v>38</v>
      </c>
      <c r="B163" s="896" t="s">
        <v>37</v>
      </c>
      <c r="C163" s="897" t="s">
        <v>36</v>
      </c>
      <c r="D163" s="897" t="s">
        <v>35</v>
      </c>
      <c r="E163" s="879" t="s">
        <v>652</v>
      </c>
      <c r="F163" s="879" t="s">
        <v>655</v>
      </c>
      <c r="G163" s="886">
        <f>H163+I163</f>
        <v>5796</v>
      </c>
      <c r="H163" s="882">
        <v>5796</v>
      </c>
      <c r="I163" s="882"/>
      <c r="J163" s="887"/>
    </row>
    <row r="164" spans="1:27" s="936" customFormat="1" ht="28.5" customHeight="1" x14ac:dyDescent="0.25">
      <c r="A164" s="888" t="s">
        <v>34</v>
      </c>
      <c r="B164" s="884" t="s">
        <v>33</v>
      </c>
      <c r="C164" s="879" t="s">
        <v>32</v>
      </c>
      <c r="D164" s="879" t="s">
        <v>31</v>
      </c>
      <c r="E164" s="879" t="s">
        <v>1097</v>
      </c>
      <c r="F164" s="879" t="s">
        <v>1098</v>
      </c>
      <c r="G164" s="898">
        <f t="shared" si="4"/>
        <v>57440</v>
      </c>
      <c r="H164" s="882">
        <v>38000</v>
      </c>
      <c r="I164" s="899">
        <v>19440</v>
      </c>
      <c r="J164" s="928"/>
    </row>
    <row r="165" spans="1:27" s="936" customFormat="1" ht="26.4" x14ac:dyDescent="0.25">
      <c r="A165" s="888" t="s">
        <v>34</v>
      </c>
      <c r="B165" s="884" t="s">
        <v>33</v>
      </c>
      <c r="C165" s="879" t="s">
        <v>32</v>
      </c>
      <c r="D165" s="879" t="s">
        <v>31</v>
      </c>
      <c r="E165" s="879" t="s">
        <v>1196</v>
      </c>
      <c r="F165" s="879" t="s">
        <v>1101</v>
      </c>
      <c r="G165" s="898">
        <f t="shared" si="4"/>
        <v>660800</v>
      </c>
      <c r="H165" s="882">
        <f>10800+650000</f>
        <v>660800</v>
      </c>
      <c r="I165" s="899"/>
      <c r="J165" s="928"/>
    </row>
    <row r="166" spans="1:27" s="859" customFormat="1" ht="52.5" customHeight="1" x14ac:dyDescent="0.3">
      <c r="A166" s="888" t="s">
        <v>34</v>
      </c>
      <c r="B166" s="884" t="s">
        <v>33</v>
      </c>
      <c r="C166" s="879" t="s">
        <v>32</v>
      </c>
      <c r="D166" s="879" t="s">
        <v>31</v>
      </c>
      <c r="E166" s="879" t="s">
        <v>652</v>
      </c>
      <c r="F166" s="879" t="s">
        <v>655</v>
      </c>
      <c r="G166" s="886">
        <f t="shared" si="4"/>
        <v>7065</v>
      </c>
      <c r="H166" s="882">
        <v>7065</v>
      </c>
      <c r="I166" s="882"/>
      <c r="J166" s="887"/>
      <c r="K166" s="1001"/>
      <c r="L166" s="1001"/>
      <c r="M166" s="1001"/>
      <c r="N166" s="1001"/>
      <c r="O166" s="1001"/>
      <c r="P166" s="1001"/>
      <c r="Q166" s="1001"/>
      <c r="R166" s="1001"/>
      <c r="S166" s="1001"/>
      <c r="T166" s="1001"/>
      <c r="U166" s="1001"/>
      <c r="V166" s="1001"/>
    </row>
    <row r="167" spans="1:27" s="859" customFormat="1" ht="29.25" customHeight="1" x14ac:dyDescent="0.3">
      <c r="A167" s="895" t="s">
        <v>27</v>
      </c>
      <c r="B167" s="896" t="s">
        <v>26</v>
      </c>
      <c r="C167" s="897" t="s">
        <v>25</v>
      </c>
      <c r="D167" s="897" t="s">
        <v>24</v>
      </c>
      <c r="E167" s="901" t="s">
        <v>1102</v>
      </c>
      <c r="F167" s="901" t="s">
        <v>1103</v>
      </c>
      <c r="G167" s="898">
        <f t="shared" si="4"/>
        <v>278244</v>
      </c>
      <c r="H167" s="899">
        <f>5000+85000+188244</f>
        <v>278244</v>
      </c>
      <c r="I167" s="899"/>
      <c r="J167" s="928"/>
      <c r="K167" s="1001"/>
      <c r="L167" s="1001"/>
      <c r="M167" s="1001"/>
      <c r="N167" s="1001"/>
      <c r="O167" s="1001"/>
      <c r="P167" s="1001"/>
      <c r="Q167" s="1001"/>
      <c r="R167" s="1001"/>
      <c r="S167" s="1001"/>
      <c r="T167" s="1001"/>
      <c r="U167" s="1001"/>
      <c r="V167" s="1001"/>
    </row>
    <row r="168" spans="1:27" s="859" customFormat="1" ht="26.4" x14ac:dyDescent="0.3">
      <c r="A168" s="895" t="s">
        <v>27</v>
      </c>
      <c r="B168" s="896" t="s">
        <v>26</v>
      </c>
      <c r="C168" s="897" t="s">
        <v>25</v>
      </c>
      <c r="D168" s="897" t="s">
        <v>24</v>
      </c>
      <c r="E168" s="879" t="s">
        <v>1196</v>
      </c>
      <c r="F168" s="879" t="s">
        <v>1101</v>
      </c>
      <c r="G168" s="898">
        <f t="shared" si="4"/>
        <v>56400</v>
      </c>
      <c r="H168" s="899">
        <v>56400</v>
      </c>
      <c r="I168" s="899"/>
      <c r="J168" s="928"/>
      <c r="K168" s="1001"/>
      <c r="L168" s="1001"/>
      <c r="M168" s="1001"/>
      <c r="N168" s="1001"/>
      <c r="O168" s="1001"/>
      <c r="P168" s="1001"/>
      <c r="Q168" s="1001"/>
      <c r="R168" s="1001"/>
      <c r="S168" s="1001"/>
      <c r="T168" s="1001"/>
      <c r="U168" s="1001"/>
      <c r="V168" s="1001"/>
    </row>
    <row r="169" spans="1:27" s="859" customFormat="1" ht="44.25" customHeight="1" x14ac:dyDescent="0.3">
      <c r="A169" s="697" t="s">
        <v>1089</v>
      </c>
      <c r="B169" s="698" t="s">
        <v>1090</v>
      </c>
      <c r="C169" s="1136" t="s">
        <v>25</v>
      </c>
      <c r="D169" s="1137" t="s">
        <v>1091</v>
      </c>
      <c r="E169" s="879" t="s">
        <v>609</v>
      </c>
      <c r="F169" s="897" t="s">
        <v>20</v>
      </c>
      <c r="G169" s="898">
        <f t="shared" si="4"/>
        <v>48000</v>
      </c>
      <c r="H169" s="899">
        <v>48000</v>
      </c>
      <c r="I169" s="899"/>
      <c r="J169" s="928"/>
      <c r="K169" s="1001"/>
      <c r="L169" s="1001"/>
      <c r="M169" s="1001"/>
      <c r="N169" s="1001"/>
      <c r="O169" s="1001"/>
      <c r="P169" s="1001"/>
      <c r="Q169" s="1001"/>
      <c r="R169" s="1001"/>
      <c r="S169" s="1001"/>
      <c r="T169" s="1001"/>
      <c r="U169" s="1001"/>
      <c r="V169" s="1001"/>
    </row>
    <row r="170" spans="1:27" s="859" customFormat="1" ht="27" thickBot="1" x14ac:dyDescent="0.35">
      <c r="A170" s="895" t="s">
        <v>19</v>
      </c>
      <c r="B170" s="896" t="s">
        <v>18</v>
      </c>
      <c r="C170" s="897" t="s">
        <v>17</v>
      </c>
      <c r="D170" s="897" t="s">
        <v>16</v>
      </c>
      <c r="E170" s="879" t="s">
        <v>1196</v>
      </c>
      <c r="F170" s="879" t="s">
        <v>1101</v>
      </c>
      <c r="G170" s="898">
        <f t="shared" si="4"/>
        <v>15000</v>
      </c>
      <c r="H170" s="899">
        <v>15000</v>
      </c>
      <c r="I170" s="899"/>
      <c r="J170" s="928"/>
      <c r="K170" s="1001"/>
      <c r="L170" s="1001"/>
      <c r="M170" s="1001"/>
      <c r="N170" s="1001"/>
      <c r="O170" s="1001"/>
      <c r="P170" s="1001"/>
      <c r="Q170" s="1001"/>
      <c r="R170" s="1001"/>
      <c r="S170" s="1001"/>
      <c r="T170" s="1001"/>
      <c r="U170" s="1001"/>
      <c r="V170" s="1001"/>
      <c r="AA170" s="1002"/>
    </row>
    <row r="171" spans="1:27" s="859" customFormat="1" ht="31.2" hidden="1" customHeight="1" x14ac:dyDescent="0.3">
      <c r="A171" s="1003">
        <v>3700000</v>
      </c>
      <c r="B171" s="1004"/>
      <c r="C171" s="1005"/>
      <c r="D171" s="1005" t="s">
        <v>15</v>
      </c>
      <c r="E171" s="897"/>
      <c r="F171" s="897"/>
      <c r="G171" s="906">
        <f>G172+G173</f>
        <v>0</v>
      </c>
      <c r="H171" s="906">
        <f>H172+H173</f>
        <v>0</v>
      </c>
      <c r="I171" s="906">
        <f>I172+I173</f>
        <v>0</v>
      </c>
      <c r="J171" s="1006">
        <f>J172+J173</f>
        <v>0</v>
      </c>
      <c r="K171" s="1001"/>
      <c r="L171" s="1001"/>
      <c r="M171" s="1001"/>
      <c r="N171" s="1001"/>
      <c r="O171" s="1001"/>
      <c r="P171" s="1001"/>
      <c r="Q171" s="1001"/>
      <c r="R171" s="1001"/>
      <c r="S171" s="1001"/>
      <c r="T171" s="1001"/>
      <c r="U171" s="1001"/>
      <c r="V171" s="1001"/>
    </row>
    <row r="172" spans="1:27" s="859" customFormat="1" ht="40.200000000000003" hidden="1" thickBot="1" x14ac:dyDescent="0.35">
      <c r="A172" s="1007" t="s">
        <v>14</v>
      </c>
      <c r="B172" s="896" t="s">
        <v>13</v>
      </c>
      <c r="C172" s="897" t="s">
        <v>7</v>
      </c>
      <c r="D172" s="897" t="s">
        <v>12</v>
      </c>
      <c r="E172" s="897" t="s">
        <v>11</v>
      </c>
      <c r="F172" s="897" t="s">
        <v>10</v>
      </c>
      <c r="G172" s="898">
        <f>H172+I172</f>
        <v>0</v>
      </c>
      <c r="H172" s="906">
        <v>0</v>
      </c>
      <c r="I172" s="906">
        <v>0</v>
      </c>
      <c r="J172" s="1006">
        <v>0</v>
      </c>
      <c r="K172" s="1001"/>
      <c r="L172" s="1001"/>
      <c r="M172" s="1001"/>
      <c r="N172" s="1001"/>
      <c r="O172" s="1001"/>
      <c r="P172" s="1001"/>
      <c r="Q172" s="1001"/>
      <c r="R172" s="1001"/>
      <c r="S172" s="1001"/>
      <c r="T172" s="1001"/>
      <c r="U172" s="1001"/>
      <c r="V172" s="1001"/>
    </row>
    <row r="173" spans="1:27" s="859" customFormat="1" ht="53.4" hidden="1" thickBot="1" x14ac:dyDescent="0.35">
      <c r="A173" s="1007" t="s">
        <v>9</v>
      </c>
      <c r="B173" s="896" t="s">
        <v>8</v>
      </c>
      <c r="C173" s="897" t="s">
        <v>7</v>
      </c>
      <c r="D173" s="897" t="s">
        <v>6</v>
      </c>
      <c r="E173" s="897" t="s">
        <v>5</v>
      </c>
      <c r="F173" s="897" t="s">
        <v>4</v>
      </c>
      <c r="G173" s="898">
        <f>H173+I173</f>
        <v>0</v>
      </c>
      <c r="H173" s="906">
        <v>0</v>
      </c>
      <c r="I173" s="906">
        <v>0</v>
      </c>
      <c r="J173" s="1006">
        <v>0</v>
      </c>
      <c r="K173" s="1001"/>
      <c r="L173" s="1001"/>
      <c r="M173" s="1001"/>
      <c r="N173" s="1001"/>
      <c r="O173" s="1001"/>
      <c r="P173" s="1001"/>
      <c r="Q173" s="1001"/>
      <c r="R173" s="1001"/>
      <c r="S173" s="1001"/>
      <c r="T173" s="1001"/>
      <c r="U173" s="1001"/>
      <c r="V173" s="1001"/>
    </row>
    <row r="174" spans="1:27" s="859" customFormat="1" ht="12.75" hidden="1" customHeight="1" x14ac:dyDescent="0.3">
      <c r="A174" s="1007"/>
      <c r="B174" s="896"/>
      <c r="C174" s="897"/>
      <c r="D174" s="897"/>
      <c r="E174" s="897"/>
      <c r="F174" s="897"/>
      <c r="G174" s="898"/>
      <c r="H174" s="899"/>
      <c r="I174" s="899"/>
      <c r="J174" s="928"/>
      <c r="K174" s="1001"/>
      <c r="L174" s="1001"/>
      <c r="M174" s="1001"/>
      <c r="N174" s="1001"/>
      <c r="O174" s="1001"/>
      <c r="P174" s="1001"/>
      <c r="Q174" s="1001"/>
      <c r="R174" s="1001"/>
      <c r="S174" s="1001"/>
      <c r="T174" s="1001"/>
      <c r="U174" s="1001"/>
      <c r="V174" s="1001"/>
    </row>
    <row r="175" spans="1:27" s="859" customFormat="1" ht="12.75" hidden="1" customHeight="1" x14ac:dyDescent="0.3">
      <c r="A175" s="1007"/>
      <c r="B175" s="896"/>
      <c r="C175" s="897"/>
      <c r="D175" s="897"/>
      <c r="E175" s="897"/>
      <c r="F175" s="897"/>
      <c r="G175" s="898"/>
      <c r="H175" s="899"/>
      <c r="I175" s="899"/>
      <c r="J175" s="928"/>
      <c r="K175" s="1001"/>
      <c r="L175" s="1001"/>
      <c r="M175" s="1001"/>
      <c r="N175" s="1001"/>
      <c r="O175" s="1001"/>
      <c r="P175" s="1001"/>
      <c r="Q175" s="1001"/>
      <c r="R175" s="1001"/>
      <c r="S175" s="1001"/>
      <c r="T175" s="1001"/>
      <c r="U175" s="1001"/>
      <c r="V175" s="1001"/>
    </row>
    <row r="176" spans="1:27" s="859" customFormat="1" ht="12.75" hidden="1" customHeight="1" x14ac:dyDescent="0.3">
      <c r="A176" s="1007"/>
      <c r="B176" s="896"/>
      <c r="C176" s="897"/>
      <c r="D176" s="897"/>
      <c r="E176" s="897"/>
      <c r="F176" s="897"/>
      <c r="G176" s="898"/>
      <c r="H176" s="899"/>
      <c r="I176" s="899"/>
      <c r="J176" s="928"/>
      <c r="K176" s="1001"/>
      <c r="L176" s="1001"/>
      <c r="M176" s="1001"/>
      <c r="N176" s="1001"/>
      <c r="O176" s="1001"/>
      <c r="P176" s="1001"/>
      <c r="Q176" s="1001"/>
      <c r="R176" s="1001"/>
      <c r="S176" s="1001"/>
      <c r="T176" s="1001"/>
      <c r="U176" s="1001"/>
      <c r="V176" s="1001"/>
    </row>
    <row r="177" spans="1:27" s="859" customFormat="1" ht="12.75" hidden="1" customHeight="1" x14ac:dyDescent="0.3">
      <c r="A177" s="1007"/>
      <c r="B177" s="896"/>
      <c r="C177" s="897"/>
      <c r="D177" s="897"/>
      <c r="E177" s="897"/>
      <c r="F177" s="897"/>
      <c r="G177" s="898"/>
      <c r="H177" s="899"/>
      <c r="I177" s="899"/>
      <c r="J177" s="928"/>
      <c r="K177" s="1001"/>
      <c r="L177" s="1001"/>
      <c r="M177" s="1001"/>
      <c r="N177" s="1001"/>
      <c r="O177" s="1001"/>
      <c r="P177" s="1001"/>
      <c r="Q177" s="1001"/>
      <c r="R177" s="1001"/>
      <c r="S177" s="1001"/>
      <c r="T177" s="1001"/>
      <c r="U177" s="1001"/>
      <c r="V177" s="1001"/>
    </row>
    <row r="178" spans="1:27" s="859" customFormat="1" ht="12.75" hidden="1" customHeight="1" x14ac:dyDescent="0.3">
      <c r="A178" s="1007"/>
      <c r="B178" s="896"/>
      <c r="C178" s="897"/>
      <c r="D178" s="897"/>
      <c r="E178" s="897"/>
      <c r="F178" s="897"/>
      <c r="G178" s="898"/>
      <c r="H178" s="899"/>
      <c r="I178" s="899"/>
      <c r="J178" s="928"/>
      <c r="K178" s="1001"/>
      <c r="L178" s="1001"/>
      <c r="M178" s="1001"/>
      <c r="N178" s="1001"/>
      <c r="O178" s="1001"/>
      <c r="P178" s="1001"/>
      <c r="Q178" s="1001"/>
      <c r="R178" s="1001"/>
      <c r="S178" s="1001"/>
      <c r="T178" s="1001"/>
      <c r="U178" s="1001"/>
      <c r="V178" s="1001"/>
    </row>
    <row r="179" spans="1:27" s="859" customFormat="1" hidden="1" thickBot="1" x14ac:dyDescent="0.35">
      <c r="A179" s="1007"/>
      <c r="B179" s="896"/>
      <c r="C179" s="897"/>
      <c r="D179" s="897"/>
      <c r="E179" s="897"/>
      <c r="F179" s="897"/>
      <c r="G179" s="898"/>
      <c r="H179" s="899"/>
      <c r="I179" s="899"/>
      <c r="J179" s="928"/>
      <c r="K179" s="1001"/>
      <c r="L179" s="1001"/>
      <c r="M179" s="1001"/>
      <c r="N179" s="1001"/>
      <c r="O179" s="1001"/>
      <c r="P179" s="1001"/>
      <c r="Q179" s="1001"/>
      <c r="R179" s="1001"/>
      <c r="S179" s="1001"/>
      <c r="T179" s="1001"/>
      <c r="U179" s="1001"/>
      <c r="V179" s="1001"/>
    </row>
    <row r="180" spans="1:27" s="859" customFormat="1" hidden="1" thickBot="1" x14ac:dyDescent="0.35">
      <c r="A180" s="1007"/>
      <c r="B180" s="896"/>
      <c r="C180" s="897"/>
      <c r="D180" s="897"/>
      <c r="E180" s="897"/>
      <c r="F180" s="897"/>
      <c r="G180" s="898"/>
      <c r="H180" s="899"/>
      <c r="I180" s="899"/>
      <c r="J180" s="928"/>
      <c r="K180" s="1001"/>
      <c r="L180" s="1001"/>
      <c r="M180" s="1001"/>
      <c r="N180" s="1001"/>
      <c r="O180" s="1001"/>
      <c r="P180" s="1001"/>
      <c r="Q180" s="1001"/>
      <c r="R180" s="1001"/>
      <c r="S180" s="1001"/>
      <c r="T180" s="1001"/>
      <c r="U180" s="1001"/>
      <c r="V180" s="1001"/>
    </row>
    <row r="181" spans="1:27" s="859" customFormat="1" hidden="1" thickBot="1" x14ac:dyDescent="0.35">
      <c r="A181" s="1007"/>
      <c r="B181" s="896"/>
      <c r="C181" s="897"/>
      <c r="D181" s="897"/>
      <c r="E181" s="897"/>
      <c r="F181" s="897"/>
      <c r="G181" s="898"/>
      <c r="H181" s="899"/>
      <c r="I181" s="899"/>
      <c r="J181" s="928"/>
      <c r="K181" s="1001"/>
      <c r="L181" s="1001"/>
      <c r="M181" s="1001"/>
      <c r="N181" s="1001"/>
      <c r="O181" s="1001"/>
      <c r="P181" s="1001"/>
      <c r="Q181" s="1001"/>
      <c r="R181" s="1001"/>
      <c r="S181" s="1001"/>
      <c r="T181" s="1001"/>
      <c r="U181" s="1001"/>
      <c r="V181" s="1001"/>
    </row>
    <row r="182" spans="1:27" s="859" customFormat="1" hidden="1" thickBot="1" x14ac:dyDescent="0.35">
      <c r="A182" s="1007"/>
      <c r="B182" s="896"/>
      <c r="C182" s="897"/>
      <c r="D182" s="897"/>
      <c r="E182" s="897"/>
      <c r="F182" s="897"/>
      <c r="G182" s="898"/>
      <c r="H182" s="899"/>
      <c r="I182" s="899"/>
      <c r="J182" s="928"/>
      <c r="K182" s="1001"/>
      <c r="L182" s="1001"/>
      <c r="M182" s="1001"/>
      <c r="N182" s="1001"/>
      <c r="O182" s="1001"/>
      <c r="P182" s="1001"/>
      <c r="Q182" s="1001"/>
      <c r="R182" s="1001"/>
      <c r="S182" s="1001"/>
      <c r="T182" s="1001"/>
      <c r="U182" s="1001"/>
      <c r="V182" s="1001"/>
    </row>
    <row r="183" spans="1:27" s="859" customFormat="1" hidden="1" thickBot="1" x14ac:dyDescent="0.35">
      <c r="A183" s="1008"/>
      <c r="B183" s="1009"/>
      <c r="C183" s="1010"/>
      <c r="D183" s="1010"/>
      <c r="E183" s="1010"/>
      <c r="F183" s="1010"/>
      <c r="G183" s="908"/>
      <c r="H183" s="980"/>
      <c r="I183" s="980">
        <v>0</v>
      </c>
      <c r="J183" s="981">
        <v>0</v>
      </c>
      <c r="K183" s="1001"/>
      <c r="L183" s="1001"/>
      <c r="M183" s="1001"/>
      <c r="N183" s="1001"/>
      <c r="O183" s="1001"/>
      <c r="P183" s="1001"/>
      <c r="Q183" s="1001"/>
      <c r="R183" s="1001"/>
      <c r="S183" s="1001"/>
      <c r="T183" s="1001"/>
      <c r="U183" s="1001"/>
      <c r="V183" s="1001"/>
    </row>
    <row r="184" spans="1:27" s="859" customFormat="1" ht="23.25" customHeight="1" thickBot="1" x14ac:dyDescent="0.35">
      <c r="A184" s="1011" t="s">
        <v>2</v>
      </c>
      <c r="B184" s="1012" t="s">
        <v>2</v>
      </c>
      <c r="C184" s="1012" t="s">
        <v>2</v>
      </c>
      <c r="D184" s="1013" t="s">
        <v>3</v>
      </c>
      <c r="E184" s="1013" t="s">
        <v>2</v>
      </c>
      <c r="F184" s="1013" t="s">
        <v>2</v>
      </c>
      <c r="G184" s="1014">
        <f>G11+G73+G155+G116+G171</f>
        <v>136643379.48000002</v>
      </c>
      <c r="H184" s="1014">
        <f>H11+H73+H155+H116+H171</f>
        <v>64134847.969999999</v>
      </c>
      <c r="I184" s="1014">
        <f>I11+I73+I155+I116+I171</f>
        <v>72508531.510000005</v>
      </c>
      <c r="J184" s="1015">
        <f>J11+J73+J155+J116+J171</f>
        <v>15849612.199999999</v>
      </c>
      <c r="K184" s="1001"/>
      <c r="L184" s="1001"/>
      <c r="M184" s="1001"/>
      <c r="N184" s="1001"/>
      <c r="O184" s="1001"/>
      <c r="P184" s="1001"/>
      <c r="Q184" s="1001"/>
      <c r="R184" s="1001"/>
      <c r="S184" s="1001"/>
      <c r="T184" s="1001"/>
      <c r="U184" s="1001"/>
      <c r="V184" s="1001"/>
      <c r="AA184" s="982"/>
    </row>
    <row r="185" spans="1:27" s="859" customFormat="1" ht="13.8" x14ac:dyDescent="0.3">
      <c r="G185" s="962"/>
      <c r="K185" s="1001"/>
      <c r="L185" s="1001"/>
      <c r="M185" s="1001"/>
      <c r="N185" s="1001"/>
      <c r="O185" s="1001"/>
      <c r="P185" s="1001"/>
      <c r="Q185" s="1001"/>
      <c r="R185" s="1001"/>
      <c r="S185" s="1001"/>
      <c r="T185" s="1001"/>
      <c r="U185" s="1001"/>
      <c r="V185" s="1001"/>
      <c r="AA185" s="1002"/>
    </row>
    <row r="186" spans="1:27" s="859" customFormat="1" ht="13.8" x14ac:dyDescent="0.3">
      <c r="J186" s="962"/>
      <c r="K186" s="1001"/>
      <c r="L186" s="1001"/>
      <c r="M186" s="1001"/>
      <c r="N186" s="1001"/>
      <c r="O186" s="1001"/>
      <c r="P186" s="1001"/>
      <c r="Q186" s="1001"/>
      <c r="R186" s="1001"/>
      <c r="S186" s="1001"/>
      <c r="T186" s="1001"/>
      <c r="U186" s="1001"/>
      <c r="V186" s="1001"/>
    </row>
    <row r="187" spans="1:27" s="859" customFormat="1" ht="15.6" x14ac:dyDescent="0.3">
      <c r="D187" s="860" t="s">
        <v>1</v>
      </c>
      <c r="H187" s="860" t="s">
        <v>650</v>
      </c>
      <c r="J187" s="962"/>
      <c r="K187" s="1001"/>
      <c r="L187" s="1001"/>
      <c r="M187" s="1001"/>
      <c r="N187" s="1001"/>
      <c r="O187" s="1001"/>
      <c r="P187" s="1001"/>
      <c r="Q187" s="1001"/>
      <c r="R187" s="1001"/>
      <c r="S187" s="1001"/>
      <c r="T187" s="1001"/>
      <c r="U187" s="1001"/>
      <c r="V187" s="1001"/>
    </row>
    <row r="188" spans="1:27" s="859" customFormat="1" ht="13.8" x14ac:dyDescent="0.3">
      <c r="J188" s="962"/>
      <c r="K188" s="1001"/>
      <c r="L188" s="1001"/>
      <c r="M188" s="1001"/>
      <c r="N188" s="1001"/>
      <c r="O188" s="1001"/>
      <c r="P188" s="1001"/>
      <c r="Q188" s="1001"/>
      <c r="R188" s="1001"/>
      <c r="S188" s="1001"/>
      <c r="T188" s="1001"/>
      <c r="U188" s="1001"/>
      <c r="V188" s="1001"/>
    </row>
    <row r="189" spans="1:27" s="859" customFormat="1" ht="13.8" x14ac:dyDescent="0.3">
      <c r="K189" s="1001"/>
      <c r="L189" s="1001"/>
      <c r="M189" s="1001"/>
      <c r="N189" s="1001"/>
      <c r="O189" s="1001"/>
      <c r="P189" s="1001"/>
      <c r="Q189" s="1001"/>
      <c r="R189" s="1001"/>
      <c r="S189" s="1001"/>
      <c r="T189" s="1001"/>
      <c r="U189" s="1001"/>
      <c r="V189" s="1001"/>
    </row>
    <row r="190" spans="1:27" s="859" customFormat="1" ht="13.8" x14ac:dyDescent="0.3">
      <c r="K190" s="1001"/>
      <c r="L190" s="1001"/>
      <c r="M190" s="1001"/>
      <c r="N190" s="1001"/>
      <c r="O190" s="1001"/>
      <c r="P190" s="1001"/>
      <c r="Q190" s="1001"/>
      <c r="R190" s="1001"/>
      <c r="S190" s="1001"/>
      <c r="T190" s="1001"/>
      <c r="U190" s="1001"/>
      <c r="V190" s="1001"/>
    </row>
    <row r="191" spans="1:27" s="859" customFormat="1" ht="13.8" x14ac:dyDescent="0.3">
      <c r="K191" s="1001"/>
      <c r="L191" s="1001"/>
      <c r="M191" s="1001"/>
      <c r="N191" s="1001"/>
      <c r="O191" s="1001"/>
      <c r="P191" s="1001"/>
      <c r="Q191" s="1001"/>
      <c r="R191" s="1001"/>
      <c r="S191" s="1001"/>
      <c r="T191" s="1001"/>
      <c r="U191" s="1001"/>
      <c r="V191" s="1001"/>
    </row>
    <row r="192" spans="1:27" x14ac:dyDescent="0.3">
      <c r="D192" s="1001"/>
      <c r="E192" s="1001"/>
      <c r="F192" s="1001"/>
      <c r="G192" s="1001"/>
      <c r="H192" s="1001"/>
      <c r="I192" s="1001"/>
      <c r="J192" s="1001"/>
      <c r="K192" s="1001"/>
      <c r="L192" s="1001"/>
      <c r="M192" s="1001"/>
      <c r="N192" s="1001"/>
      <c r="O192" s="1001"/>
      <c r="P192" s="1001"/>
      <c r="Q192" s="1001"/>
      <c r="R192" s="1001"/>
      <c r="S192" s="1001"/>
      <c r="T192" s="1001"/>
      <c r="U192" s="1001"/>
      <c r="V192" s="1001"/>
    </row>
  </sheetData>
  <mergeCells count="10">
    <mergeCell ref="I8:J8"/>
    <mergeCell ref="A5:J5"/>
    <mergeCell ref="A8:A9"/>
    <mergeCell ref="B8:B9"/>
    <mergeCell ref="C8:C9"/>
    <mergeCell ref="D8:D9"/>
    <mergeCell ref="E8:E9"/>
    <mergeCell ref="F8:F9"/>
    <mergeCell ref="G8:G9"/>
    <mergeCell ref="H8:H9"/>
  </mergeCells>
  <pageMargins left="0.39370078740157483" right="0.39370078740157483" top="1.1811023622047245" bottom="0.39370078740157483" header="0" footer="0"/>
  <pageSetup paperSize="9" scale="66" fitToHeight="11" orientation="landscape"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12</vt:i4>
      </vt:variant>
    </vt:vector>
  </HeadingPairs>
  <TitlesOfParts>
    <vt:vector size="23" baseType="lpstr">
      <vt:lpstr>Дод 1</vt:lpstr>
      <vt:lpstr>Зм1.1</vt:lpstr>
      <vt:lpstr>дод 2 </vt:lpstr>
      <vt:lpstr>дод 3 </vt:lpstr>
      <vt:lpstr>Зм3.1</vt:lpstr>
      <vt:lpstr>дод 4</vt:lpstr>
      <vt:lpstr>Дод 5</vt:lpstr>
      <vt:lpstr>дод 6</vt:lpstr>
      <vt:lpstr>дод7</vt:lpstr>
      <vt:lpstr>дод8 </vt:lpstr>
      <vt:lpstr>дод9</vt:lpstr>
      <vt:lpstr>'дод 2 '!Заголовки_для_печати</vt:lpstr>
      <vt:lpstr>'дод 3 '!Заголовки_для_печати</vt:lpstr>
      <vt:lpstr>дод7!Заголовки_для_печати</vt:lpstr>
      <vt:lpstr>'дод8 '!Заголовки_для_печати</vt:lpstr>
      <vt:lpstr>дод9!Заголовки_для_печати</vt:lpstr>
      <vt:lpstr>Зм3.1!Заголовки_для_печати</vt:lpstr>
      <vt:lpstr>'Дод 1'!Область_печати</vt:lpstr>
      <vt:lpstr>'дод 2 '!Область_печати</vt:lpstr>
      <vt:lpstr>'дод8 '!Область_печати</vt:lpstr>
      <vt:lpstr>дод9!Область_печати</vt:lpstr>
      <vt:lpstr>Зм1.1!Область_печати</vt:lpstr>
      <vt:lpstr>Зм3.1!Область_печати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Antonina</dc:creator>
  <cp:lastModifiedBy>Пользователь Windows</cp:lastModifiedBy>
  <cp:lastPrinted>2025-05-30T12:05:16Z</cp:lastPrinted>
  <dcterms:created xsi:type="dcterms:W3CDTF">2021-11-28T17:49:09Z</dcterms:created>
  <dcterms:modified xsi:type="dcterms:W3CDTF">2025-05-30T13:15:03Z</dcterms:modified>
</cp:coreProperties>
</file>