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My_doc\bud 2023\Зміни сесія\вересень\"/>
    </mc:Choice>
  </mc:AlternateContent>
  <bookViews>
    <workbookView xWindow="480" yWindow="120" windowWidth="11985" windowHeight="9390" activeTab="2"/>
  </bookViews>
  <sheets>
    <sheet name="Додаток 1" sheetId="29" r:id="rId1"/>
    <sheet name="додаток 2 " sheetId="30" r:id="rId2"/>
    <sheet name="Додаток 3" sheetId="3" r:id="rId3"/>
    <sheet name="Додаток 4" sheetId="19" r:id="rId4"/>
    <sheet name="додаток 5 " sheetId="31" r:id="rId5"/>
    <sheet name="Додаток 6" sheetId="14" r:id="rId6"/>
  </sheets>
  <externalReferences>
    <externalReference r:id="rId7"/>
    <externalReference r:id="rId8"/>
  </externalReferences>
  <definedNames>
    <definedName name="__" localSheetId="0">#REF!</definedName>
    <definedName name="__" localSheetId="1">#REF!</definedName>
    <definedName name="__" localSheetId="4">#REF!</definedName>
    <definedName name="__">#REF!</definedName>
    <definedName name="_ftn1" localSheetId="0">'Додаток 1'!#REF!</definedName>
    <definedName name="_ftn2" localSheetId="0">'Додаток 1'!#REF!</definedName>
    <definedName name="_ftnref1" localSheetId="0">'Додаток 1'!#REF!</definedName>
    <definedName name="_ftnref2" localSheetId="0">'Додаток 1'!#REF!</definedName>
    <definedName name="_xlnm._FilterDatabase" localSheetId="0" hidden="1">'Додаток 1'!$A$13:$H$13</definedName>
    <definedName name="_xlnm._FilterDatabase" localSheetId="2" hidden="1">'Додаток 3'!$A$21:$P$145</definedName>
    <definedName name="_xlnm._FilterDatabase" localSheetId="3" hidden="1">'Додаток 4'!$A$17:$H$83</definedName>
    <definedName name="A" localSheetId="1">#REF!</definedName>
    <definedName name="A" localSheetId="4">#REF!</definedName>
    <definedName name="A">#REF!</definedName>
    <definedName name="Hd" localSheetId="1">#REF!</definedName>
    <definedName name="Hd" localSheetId="4">#REF!</definedName>
    <definedName name="Hd">#REF!</definedName>
    <definedName name="Ho" localSheetId="1">#REF!</definedName>
    <definedName name="Ho" localSheetId="4">#REF!</definedName>
    <definedName name="Ho">#REF!</definedName>
    <definedName name="Hy" localSheetId="1">#REF!</definedName>
    <definedName name="Hy" localSheetId="4">#REF!</definedName>
    <definedName name="Hy">#REF!</definedName>
    <definedName name="Hz" localSheetId="0">#REF!</definedName>
    <definedName name="Hz" localSheetId="1">#REF!</definedName>
    <definedName name="Hz" localSheetId="4">#REF!</definedName>
    <definedName name="Hz">#REF!</definedName>
    <definedName name="jnjuhniu" localSheetId="0">#REF!</definedName>
    <definedName name="jnjuhniu" localSheetId="1">#REF!</definedName>
    <definedName name="jnjuhniu" localSheetId="4">#REF!</definedName>
    <definedName name="jnjuhniu">#REF!</definedName>
    <definedName name="Kdm" localSheetId="0">#REF!</definedName>
    <definedName name="Kdm" localSheetId="1">#REF!</definedName>
    <definedName name="Kdm" localSheetId="4">#REF!</definedName>
    <definedName name="Kdm">#REF!</definedName>
    <definedName name="Kgmr" localSheetId="0">#REF!</definedName>
    <definedName name="Kgmr" localSheetId="1">#REF!</definedName>
    <definedName name="Kgmr" localSheetId="4">#REF!</definedName>
    <definedName name="Kgmr">#REF!</definedName>
    <definedName name="KK" localSheetId="0">#REF!</definedName>
    <definedName name="KK" localSheetId="1">#REF!</definedName>
    <definedName name="KK" localSheetId="4">#REF!</definedName>
    <definedName name="KK">#REF!</definedName>
    <definedName name="Kmr" localSheetId="0">#REF!</definedName>
    <definedName name="Kmr" localSheetId="1">#REF!</definedName>
    <definedName name="Kmr" localSheetId="4">#REF!</definedName>
    <definedName name="Kmr">#REF!</definedName>
    <definedName name="Kys" localSheetId="1">#REF!</definedName>
    <definedName name="Kys" localSheetId="4">#REF!</definedName>
    <definedName name="Kys">#REF!</definedName>
    <definedName name="Kzs" localSheetId="0">#REF!</definedName>
    <definedName name="Kzs" localSheetId="1">#REF!</definedName>
    <definedName name="Kzs" localSheetId="4">#REF!</definedName>
    <definedName name="Kzs">#REF!</definedName>
    <definedName name="STBUDJ" localSheetId="1">#REF!</definedName>
    <definedName name="STBUDJ" localSheetId="4">#REF!</definedName>
    <definedName name="STBUDJ">#REF!</definedName>
    <definedName name="STInsert" localSheetId="1">#REF!</definedName>
    <definedName name="STInsert" localSheetId="4">#REF!</definedName>
    <definedName name="STInsert">#REF!</definedName>
    <definedName name="STR" localSheetId="1">'[1]19'!#REF!</definedName>
    <definedName name="STR" localSheetId="4">'[1]19'!#REF!</definedName>
    <definedName name="STR">'[1]19'!#REF!</definedName>
    <definedName name="Strinsel3" localSheetId="1">'[2]19'!#REF!</definedName>
    <definedName name="Strinsel3" localSheetId="4">'[2]19'!#REF!</definedName>
    <definedName name="Strinsel3">'[2]19'!#REF!</definedName>
    <definedName name="StrInsertVidatk1" localSheetId="1">'[1]18'!#REF!</definedName>
    <definedName name="StrInsertVidatk1" localSheetId="4">'[1]18'!#REF!</definedName>
    <definedName name="StrInsertVidatk1">'[1]18'!#REF!</definedName>
    <definedName name="StrInsertVidatk2" localSheetId="1">'[1]19'!#REF!</definedName>
    <definedName name="StrInsertVidatk2" localSheetId="4">'[1]19'!#REF!</definedName>
    <definedName name="StrInsertVidatk2">'[1]19'!#REF!</definedName>
    <definedName name="STVidat" localSheetId="0">#REF!</definedName>
    <definedName name="STVidat" localSheetId="1">#REF!</definedName>
    <definedName name="STVidat" localSheetId="4">#REF!</definedName>
    <definedName name="STVidat">#REF!</definedName>
    <definedName name="STZalishk" localSheetId="0">#REF!</definedName>
    <definedName name="STZalishk" localSheetId="1">#REF!</definedName>
    <definedName name="STZalishk" localSheetId="4">#REF!</definedName>
    <definedName name="STZalishk">#REF!</definedName>
    <definedName name="_xlnm.Database" localSheetId="1">#REF!</definedName>
    <definedName name="_xlnm.Database" localSheetId="4">#REF!</definedName>
    <definedName name="_xlnm.Database">#REF!</definedName>
    <definedName name="д" localSheetId="1">#REF!</definedName>
    <definedName name="д" localSheetId="4">#REF!</definedName>
    <definedName name="д">#REF!</definedName>
    <definedName name="дод" localSheetId="1">#REF!</definedName>
    <definedName name="дод" localSheetId="4">#REF!</definedName>
    <definedName name="дод">#REF!</definedName>
    <definedName name="з" localSheetId="1">#REF!</definedName>
    <definedName name="з" localSheetId="4">#REF!</definedName>
    <definedName name="з">#REF!</definedName>
    <definedName name="_xlnm.Print_Titles" localSheetId="0">'Додаток 1'!$11:$12</definedName>
    <definedName name="_xlnm.Print_Titles" localSheetId="2">'Додаток 3'!$21:$21</definedName>
    <definedName name="_xlnm.Print_Titles" localSheetId="3">'Додаток 4'!$66:$67</definedName>
    <definedName name="_xlnm.Print_Titles" localSheetId="5">'Додаток 6'!$12:$14</definedName>
    <definedName name="Кog" localSheetId="1">#REF!</definedName>
    <definedName name="Кog" localSheetId="4">#REF!</definedName>
    <definedName name="Кog">#REF!</definedName>
    <definedName name="Кoh" localSheetId="1">#REF!</definedName>
    <definedName name="Кoh" localSheetId="4">#REF!</definedName>
    <definedName name="Кoh">#REF!</definedName>
    <definedName name="Кyn" localSheetId="1">#REF!</definedName>
    <definedName name="Кyn" localSheetId="4">#REF!</definedName>
    <definedName name="Кyn">#REF!</definedName>
    <definedName name="Кzl" localSheetId="0">#REF!</definedName>
    <definedName name="Кzl" localSheetId="1">#REF!</definedName>
    <definedName name="Кzl" localSheetId="4">#REF!</definedName>
    <definedName name="Кzl">#REF!</definedName>
    <definedName name="Кzn" localSheetId="0">#REF!</definedName>
    <definedName name="Кzn" localSheetId="1">#REF!</definedName>
    <definedName name="Кzn" localSheetId="4">#REF!</definedName>
    <definedName name="Кzn">#REF!</definedName>
    <definedName name="Коd" localSheetId="1">#REF!</definedName>
    <definedName name="Коd" localSheetId="4">#REF!</definedName>
    <definedName name="Коd">#REF!</definedName>
    <definedName name="Куl" localSheetId="1">#REF!</definedName>
    <definedName name="Куl" localSheetId="4">#REF!</definedName>
    <definedName name="Куl">#REF!</definedName>
    <definedName name="ллл" localSheetId="0">#REF!</definedName>
    <definedName name="ллл" localSheetId="1">#REF!</definedName>
    <definedName name="ллл" localSheetId="4">#REF!</definedName>
    <definedName name="ллл">#REF!</definedName>
    <definedName name="Нkb" localSheetId="1">#REF!</definedName>
    <definedName name="Нkb" localSheetId="4">#REF!</definedName>
    <definedName name="Нkb">#REF!</definedName>
    <definedName name="Нkk" localSheetId="1">#REF!</definedName>
    <definedName name="Нkk" localSheetId="4">#REF!</definedName>
    <definedName name="Нkk">#REF!</definedName>
    <definedName name="_xlnm.Print_Area" localSheetId="0">'Додаток 1'!$A$1:$F$136</definedName>
    <definedName name="_xlnm.Print_Area" localSheetId="1">'додаток 2 '!$A$1:$F$40</definedName>
    <definedName name="_xlnm.Print_Area" localSheetId="2">'Додаток 3'!$A$1:$P$147</definedName>
    <definedName name="_xlnm.Print_Area" localSheetId="3">'Додаток 4'!$A$1:$D$85</definedName>
    <definedName name="_xlnm.Print_Area" localSheetId="4">'додаток 5 '!$A$1:$J$42</definedName>
    <definedName name="_xlnm.Print_Area" localSheetId="5">'Додаток 6'!$A$1:$J$100</definedName>
    <definedName name="уточн" localSheetId="0">#REF!</definedName>
    <definedName name="уточн" localSheetId="1">#REF!</definedName>
    <definedName name="уточн" localSheetId="4">#REF!</definedName>
    <definedName name="уточн">#REF!</definedName>
    <definedName name="щ" localSheetId="0">#REF!</definedName>
    <definedName name="щ" localSheetId="1">#REF!</definedName>
    <definedName name="щ" localSheetId="4">#REF!</definedName>
    <definedName name="щ">#REF!</definedName>
  </definedNames>
  <calcPr calcId="162913"/>
</workbook>
</file>

<file path=xl/calcChain.xml><?xml version="1.0" encoding="utf-8"?>
<calcChain xmlns="http://schemas.openxmlformats.org/spreadsheetml/2006/main">
  <c r="D18" i="29" l="1"/>
  <c r="G59" i="3"/>
  <c r="E59" i="3"/>
  <c r="E74" i="3"/>
  <c r="E67" i="3" l="1"/>
  <c r="E66" i="3"/>
  <c r="F24" i="30"/>
  <c r="E24" i="30"/>
  <c r="D24" i="30"/>
  <c r="F106" i="29" l="1"/>
  <c r="D47" i="29"/>
  <c r="D43" i="19" l="1"/>
  <c r="O125" i="3"/>
  <c r="K125" i="3"/>
  <c r="J125" i="3"/>
  <c r="J91" i="3"/>
  <c r="O72" i="3"/>
  <c r="K72" i="3"/>
  <c r="J72" i="3"/>
  <c r="E89" i="3"/>
  <c r="E72" i="3"/>
  <c r="O71" i="3"/>
  <c r="K71" i="3"/>
  <c r="J71" i="3"/>
  <c r="E71" i="3"/>
  <c r="E65" i="3"/>
  <c r="E24" i="3"/>
  <c r="H54" i="3"/>
  <c r="G54" i="3"/>
  <c r="E54" i="3"/>
  <c r="E33" i="3"/>
  <c r="E98" i="3"/>
  <c r="G124" i="3"/>
  <c r="E124" i="3"/>
  <c r="E109" i="3"/>
  <c r="E99" i="3"/>
  <c r="H101" i="3"/>
  <c r="E101" i="3"/>
  <c r="J129" i="3"/>
  <c r="J132" i="3"/>
  <c r="E128" i="3"/>
  <c r="G129" i="3"/>
  <c r="E129" i="3"/>
  <c r="H58" i="14" l="1"/>
  <c r="E36" i="3" l="1"/>
  <c r="E131" i="3"/>
  <c r="G115" i="3"/>
  <c r="E115" i="3"/>
  <c r="O90" i="3"/>
  <c r="K90" i="3"/>
  <c r="J90" i="3"/>
  <c r="E90" i="3"/>
  <c r="E70" i="3"/>
  <c r="E61" i="3" l="1"/>
  <c r="E38" i="3"/>
  <c r="E35" i="3"/>
  <c r="O24" i="3"/>
  <c r="K24" i="3"/>
  <c r="J24" i="3"/>
  <c r="F107" i="29" l="1"/>
  <c r="H44" i="14" l="1"/>
  <c r="H42" i="14" s="1"/>
  <c r="J42" i="14"/>
  <c r="I42" i="14"/>
  <c r="G45" i="14"/>
  <c r="J45" i="14"/>
  <c r="H37" i="14" l="1"/>
  <c r="J61" i="14"/>
  <c r="I61" i="14"/>
  <c r="H61" i="14"/>
  <c r="G67" i="14"/>
  <c r="E25" i="3"/>
  <c r="H59" i="3"/>
  <c r="O80" i="3"/>
  <c r="K80" i="3"/>
  <c r="J80" i="3"/>
  <c r="O82" i="3"/>
  <c r="K82" i="3"/>
  <c r="J82" i="3"/>
  <c r="E85" i="3"/>
  <c r="E88" i="3"/>
  <c r="E94" i="3"/>
  <c r="E116" i="3"/>
  <c r="E121" i="3"/>
  <c r="H133" i="3"/>
  <c r="G132" i="3"/>
  <c r="J63" i="14" l="1"/>
  <c r="I63" i="14"/>
  <c r="H63" i="14"/>
  <c r="H34" i="14"/>
  <c r="P100" i="3"/>
  <c r="O94" i="3" l="1"/>
  <c r="G101" i="3"/>
  <c r="H99" i="3"/>
  <c r="D23" i="30" l="1"/>
  <c r="D87" i="29" l="1"/>
  <c r="D89" i="29" l="1"/>
  <c r="D75" i="29"/>
  <c r="D66" i="29"/>
  <c r="D48" i="29"/>
  <c r="D35" i="29"/>
  <c r="D33" i="29"/>
  <c r="D22" i="29"/>
  <c r="J69" i="14" l="1"/>
  <c r="I69" i="14"/>
  <c r="E108" i="3"/>
  <c r="K94" i="3"/>
  <c r="J94" i="3"/>
  <c r="E80" i="3"/>
  <c r="O54" i="3"/>
  <c r="K54" i="3"/>
  <c r="J54" i="3"/>
  <c r="G60" i="14" l="1"/>
  <c r="J39" i="14" l="1"/>
  <c r="I39" i="14"/>
  <c r="H39" i="14"/>
  <c r="G40" i="14"/>
  <c r="I66" i="14"/>
  <c r="H66" i="14"/>
  <c r="D45" i="29" l="1"/>
  <c r="D37" i="29"/>
  <c r="D17" i="29"/>
  <c r="D81" i="29"/>
  <c r="D79" i="29"/>
  <c r="D57" i="29"/>
  <c r="D49" i="29"/>
  <c r="D46" i="29"/>
  <c r="G141" i="3" l="1"/>
  <c r="O88" i="3"/>
  <c r="K88" i="3"/>
  <c r="J88" i="3"/>
  <c r="G24" i="3"/>
  <c r="H33" i="14" l="1"/>
  <c r="G34" i="14" l="1"/>
  <c r="H57" i="14"/>
  <c r="O23" i="3" l="1"/>
  <c r="K23" i="3"/>
  <c r="J23" i="3"/>
  <c r="K127" i="3" l="1"/>
  <c r="K126" i="3" s="1"/>
  <c r="O127" i="3"/>
  <c r="O126" i="3" s="1"/>
  <c r="E62" i="29"/>
  <c r="E61" i="29"/>
  <c r="E60" i="29"/>
  <c r="O26" i="3" l="1"/>
  <c r="K26" i="3"/>
  <c r="J26" i="3"/>
  <c r="H23" i="3"/>
  <c r="G23" i="3"/>
  <c r="E23" i="3"/>
  <c r="E75" i="3"/>
  <c r="O25" i="3"/>
  <c r="K25" i="3"/>
  <c r="J25" i="3"/>
  <c r="E69" i="3"/>
  <c r="E79" i="3"/>
  <c r="L92" i="3"/>
  <c r="P92" i="3"/>
  <c r="F92" i="3"/>
  <c r="E133" i="3"/>
  <c r="J131" i="3"/>
  <c r="G131" i="3"/>
  <c r="G108" i="3"/>
  <c r="G99" i="3"/>
  <c r="G44" i="14" l="1"/>
  <c r="D54" i="19" l="1"/>
  <c r="C132" i="29"/>
  <c r="O97" i="3"/>
  <c r="N97" i="3"/>
  <c r="M97" i="3"/>
  <c r="K97" i="3"/>
  <c r="J97" i="3"/>
  <c r="H97" i="3"/>
  <c r="G97" i="3"/>
  <c r="P122" i="3"/>
  <c r="P123" i="3"/>
  <c r="D45" i="19" l="1"/>
  <c r="E113" i="3" l="1"/>
  <c r="E111" i="3"/>
  <c r="E48" i="3"/>
  <c r="E46" i="3"/>
  <c r="D83" i="29" l="1"/>
  <c r="D76" i="29"/>
  <c r="D74" i="29"/>
  <c r="D71" i="29"/>
  <c r="D56" i="29"/>
  <c r="D55" i="29"/>
  <c r="D44" i="29"/>
  <c r="D42" i="29"/>
  <c r="D38" i="29"/>
  <c r="D20" i="29"/>
  <c r="J55" i="14"/>
  <c r="I55" i="14"/>
  <c r="G55" i="14" s="1"/>
  <c r="D52" i="19"/>
  <c r="D41" i="19"/>
  <c r="D40" i="19" s="1"/>
  <c r="O70" i="3"/>
  <c r="K70" i="3"/>
  <c r="J70" i="3"/>
  <c r="G98" i="3" l="1"/>
  <c r="H43" i="14" l="1"/>
  <c r="H41" i="14"/>
  <c r="H21" i="14"/>
  <c r="E68" i="3"/>
  <c r="G72" i="3"/>
  <c r="E137" i="3"/>
  <c r="O101" i="3" l="1"/>
  <c r="K101" i="3"/>
  <c r="J101" i="3"/>
  <c r="I23" i="31"/>
  <c r="I24" i="31"/>
  <c r="D42" i="19" l="1"/>
  <c r="I16" i="31" l="1"/>
  <c r="H16" i="31"/>
  <c r="J50" i="14"/>
  <c r="I50" i="14"/>
  <c r="G50" i="14" s="1"/>
  <c r="P76" i="3"/>
  <c r="J51" i="14"/>
  <c r="I51" i="14"/>
  <c r="G51" i="14" s="1"/>
  <c r="G111" i="3" l="1"/>
  <c r="E130" i="3"/>
  <c r="G130" i="3" l="1"/>
  <c r="H129" i="3"/>
  <c r="G76" i="14" l="1"/>
  <c r="G59" i="14"/>
  <c r="G49" i="14"/>
  <c r="D73" i="19"/>
  <c r="D74" i="19" s="1"/>
  <c r="D44" i="19"/>
  <c r="J38" i="14"/>
  <c r="I38" i="14"/>
  <c r="E87" i="3" l="1"/>
  <c r="H124" i="3"/>
  <c r="J75" i="3" l="1"/>
  <c r="I48" i="14" s="1"/>
  <c r="H141" i="3" l="1"/>
  <c r="E142" i="3"/>
  <c r="E141" i="3"/>
  <c r="E155" i="3"/>
  <c r="E156" i="3"/>
  <c r="O96" i="3" l="1"/>
  <c r="M96" i="3"/>
  <c r="K96" i="3"/>
  <c r="G156" i="3"/>
  <c r="F156" i="3"/>
  <c r="D22" i="19"/>
  <c r="E23" i="30"/>
  <c r="F155" i="3" s="1"/>
  <c r="F23" i="30"/>
  <c r="G155" i="3" s="1"/>
  <c r="G38" i="14"/>
  <c r="I20" i="31"/>
  <c r="I15" i="31" s="1"/>
  <c r="H20" i="31"/>
  <c r="H32" i="31"/>
  <c r="H31" i="31" s="1"/>
  <c r="H24" i="31"/>
  <c r="H23" i="31" s="1"/>
  <c r="I14" i="31"/>
  <c r="I39" i="31" s="1"/>
  <c r="J84" i="3"/>
  <c r="E58" i="3"/>
  <c r="H109" i="3"/>
  <c r="H108" i="3"/>
  <c r="G103" i="3"/>
  <c r="E103" i="3"/>
  <c r="F34" i="30"/>
  <c r="E34" i="30"/>
  <c r="D34" i="30"/>
  <c r="F32" i="30"/>
  <c r="E32" i="30"/>
  <c r="D32" i="30"/>
  <c r="F30" i="30"/>
  <c r="E30" i="30"/>
  <c r="D30" i="30"/>
  <c r="F29" i="30"/>
  <c r="E29" i="30"/>
  <c r="D29" i="30"/>
  <c r="C28" i="30"/>
  <c r="C24" i="30"/>
  <c r="C34" i="30" s="1"/>
  <c r="F33" i="30"/>
  <c r="E21" i="30"/>
  <c r="D33" i="30"/>
  <c r="C23" i="30"/>
  <c r="C22" i="30"/>
  <c r="C32" i="30" s="1"/>
  <c r="F21" i="30"/>
  <c r="F31" i="30" s="1"/>
  <c r="D21" i="30"/>
  <c r="D31" i="30" s="1"/>
  <c r="C20" i="30"/>
  <c r="C19" i="30"/>
  <c r="C18" i="30"/>
  <c r="D116" i="29"/>
  <c r="J22" i="3" l="1"/>
  <c r="H15" i="31"/>
  <c r="H14" i="31" s="1"/>
  <c r="H39" i="31" s="1"/>
  <c r="C30" i="30"/>
  <c r="C33" i="30"/>
  <c r="C29" i="30"/>
  <c r="E31" i="30"/>
  <c r="E17" i="30"/>
  <c r="E33" i="30"/>
  <c r="D17" i="30"/>
  <c r="F17" i="30"/>
  <c r="C21" i="30"/>
  <c r="C31" i="30" s="1"/>
  <c r="P130" i="3"/>
  <c r="J96" i="3"/>
  <c r="H96" i="3"/>
  <c r="G54" i="14"/>
  <c r="J53" i="14"/>
  <c r="I53" i="14"/>
  <c r="H53" i="14"/>
  <c r="G96" i="3"/>
  <c r="L101" i="3"/>
  <c r="J79" i="14"/>
  <c r="J78" i="14" s="1"/>
  <c r="I79" i="14"/>
  <c r="I78" i="14" s="1"/>
  <c r="H81" i="14"/>
  <c r="G81" i="14" s="1"/>
  <c r="G43" i="14"/>
  <c r="G42" i="14"/>
  <c r="H31" i="14"/>
  <c r="G31" i="14" s="1"/>
  <c r="D113" i="29"/>
  <c r="D115" i="29"/>
  <c r="D119" i="29"/>
  <c r="D25" i="19"/>
  <c r="C131" i="29"/>
  <c r="C129" i="29"/>
  <c r="C128" i="29"/>
  <c r="C127" i="29"/>
  <c r="C126" i="29"/>
  <c r="C125" i="29"/>
  <c r="C124" i="29"/>
  <c r="F123" i="29"/>
  <c r="E123" i="29"/>
  <c r="C122" i="29"/>
  <c r="C121" i="29"/>
  <c r="D27" i="19" s="1"/>
  <c r="C120" i="29"/>
  <c r="F119" i="29"/>
  <c r="E119" i="29"/>
  <c r="C118" i="29"/>
  <c r="C117" i="29"/>
  <c r="C115" i="29" s="1"/>
  <c r="C116" i="29"/>
  <c r="F115" i="29"/>
  <c r="E115" i="29"/>
  <c r="C114" i="29"/>
  <c r="C113" i="29" s="1"/>
  <c r="F113" i="29"/>
  <c r="E113" i="29"/>
  <c r="C109" i="29"/>
  <c r="E108" i="29"/>
  <c r="C108" i="29" s="1"/>
  <c r="D108" i="29"/>
  <c r="E107" i="29"/>
  <c r="E106" i="29"/>
  <c r="F105" i="29"/>
  <c r="F104" i="29" s="1"/>
  <c r="F99" i="29" s="1"/>
  <c r="C103" i="29"/>
  <c r="C102" i="29"/>
  <c r="D101" i="29"/>
  <c r="C101" i="29"/>
  <c r="C100" i="29"/>
  <c r="C98" i="29"/>
  <c r="C97" i="29"/>
  <c r="E96" i="29"/>
  <c r="D96" i="29"/>
  <c r="C96" i="29"/>
  <c r="C95" i="29"/>
  <c r="C94" i="29"/>
  <c r="C93" i="29"/>
  <c r="E92" i="29"/>
  <c r="C92" i="29" s="1"/>
  <c r="E90" i="29"/>
  <c r="C90" i="29" s="1"/>
  <c r="C89" i="29"/>
  <c r="C88" i="29"/>
  <c r="C87" i="29"/>
  <c r="E86" i="29"/>
  <c r="E85" i="29" s="1"/>
  <c r="D86" i="29"/>
  <c r="F85" i="29"/>
  <c r="F63" i="29" s="1"/>
  <c r="D85" i="29"/>
  <c r="C84" i="29"/>
  <c r="C83" i="29"/>
  <c r="C82" i="29"/>
  <c r="C81" i="29"/>
  <c r="E80" i="29"/>
  <c r="D80" i="29"/>
  <c r="C79" i="29"/>
  <c r="D78" i="29"/>
  <c r="C78" i="29" s="1"/>
  <c r="C77" i="29"/>
  <c r="C76" i="29"/>
  <c r="C75" i="29"/>
  <c r="C74" i="29"/>
  <c r="D73" i="29"/>
  <c r="C71" i="29"/>
  <c r="C70" i="29"/>
  <c r="C69" i="29"/>
  <c r="E68" i="29"/>
  <c r="D68" i="29"/>
  <c r="C67" i="29"/>
  <c r="C66" i="29"/>
  <c r="D65" i="29"/>
  <c r="C62" i="29"/>
  <c r="C61" i="29"/>
  <c r="C60" i="29"/>
  <c r="E59" i="29"/>
  <c r="C59" i="29" s="1"/>
  <c r="C57" i="29"/>
  <c r="C56" i="29"/>
  <c r="C55" i="29"/>
  <c r="D54" i="29"/>
  <c r="C54" i="29" s="1"/>
  <c r="C53" i="29"/>
  <c r="D52" i="29"/>
  <c r="C52" i="29" s="1"/>
  <c r="C51" i="29"/>
  <c r="C50" i="29"/>
  <c r="C49" i="29"/>
  <c r="C48" i="29"/>
  <c r="C47" i="29"/>
  <c r="C46" i="29"/>
  <c r="C45" i="29"/>
  <c r="C44" i="29"/>
  <c r="C43" i="29"/>
  <c r="C42" i="29"/>
  <c r="D41" i="29"/>
  <c r="C41" i="29" s="1"/>
  <c r="E39" i="29"/>
  <c r="C38" i="29"/>
  <c r="C37" i="29"/>
  <c r="D36" i="29"/>
  <c r="C36" i="29" s="1"/>
  <c r="C35" i="29"/>
  <c r="D34" i="29"/>
  <c r="C34" i="29" s="1"/>
  <c r="C33" i="29"/>
  <c r="D32" i="29"/>
  <c r="D30" i="29"/>
  <c r="C30" i="29" s="1"/>
  <c r="C28" i="29"/>
  <c r="D27" i="29"/>
  <c r="C27" i="29"/>
  <c r="C26" i="29"/>
  <c r="C25" i="29"/>
  <c r="F24" i="29"/>
  <c r="F23" i="29"/>
  <c r="E24" i="29"/>
  <c r="C24" i="29"/>
  <c r="D24" i="29"/>
  <c r="E23" i="29"/>
  <c r="C22" i="29"/>
  <c r="F21" i="29"/>
  <c r="F15" i="29" s="1"/>
  <c r="E21" i="29"/>
  <c r="D21" i="29"/>
  <c r="C21" i="29" s="1"/>
  <c r="C20" i="29"/>
  <c r="C19" i="29"/>
  <c r="C18" i="29"/>
  <c r="C17" i="29"/>
  <c r="D16" i="29"/>
  <c r="C16" i="29" s="1"/>
  <c r="E15" i="29"/>
  <c r="G33" i="14"/>
  <c r="D69" i="19"/>
  <c r="F130" i="3"/>
  <c r="F120" i="3"/>
  <c r="N96" i="3"/>
  <c r="N127" i="3"/>
  <c r="N126" i="3" s="1"/>
  <c r="M127" i="3"/>
  <c r="M126" i="3" s="1"/>
  <c r="M145" i="3" s="1"/>
  <c r="M149" i="3" s="1"/>
  <c r="J127" i="3"/>
  <c r="J126" i="3" s="1"/>
  <c r="H127" i="3"/>
  <c r="H126" i="3" s="1"/>
  <c r="G127" i="3"/>
  <c r="G126" i="3" s="1"/>
  <c r="E127" i="3"/>
  <c r="E126" i="3" s="1"/>
  <c r="P102" i="3"/>
  <c r="P109" i="3"/>
  <c r="F132" i="3"/>
  <c r="P124" i="3"/>
  <c r="F115" i="3"/>
  <c r="P108" i="3"/>
  <c r="G24" i="14"/>
  <c r="E55" i="3"/>
  <c r="J56" i="14"/>
  <c r="G73" i="14"/>
  <c r="G22" i="3"/>
  <c r="P71" i="3"/>
  <c r="P33" i="3"/>
  <c r="J17" i="14"/>
  <c r="H18" i="14"/>
  <c r="G18" i="14" s="1"/>
  <c r="G72" i="14"/>
  <c r="I145" i="3"/>
  <c r="I149" i="3" s="1"/>
  <c r="P93" i="3"/>
  <c r="O22" i="3"/>
  <c r="O145" i="3" s="1"/>
  <c r="O149" i="3" s="1"/>
  <c r="K22" i="3"/>
  <c r="K145" i="3" s="1"/>
  <c r="P24" i="3"/>
  <c r="L132" i="3"/>
  <c r="P142" i="3"/>
  <c r="P118" i="3"/>
  <c r="P119" i="3" s="1"/>
  <c r="F100" i="3"/>
  <c r="F102" i="3"/>
  <c r="P67" i="3"/>
  <c r="F67" i="3"/>
  <c r="H22" i="3"/>
  <c r="F129" i="3"/>
  <c r="F131" i="3"/>
  <c r="F133" i="3"/>
  <c r="P134" i="3"/>
  <c r="D71" i="19"/>
  <c r="D72" i="19" s="1"/>
  <c r="D79" i="19"/>
  <c r="D80" i="19" s="1"/>
  <c r="D83" i="19" s="1"/>
  <c r="G70" i="14"/>
  <c r="F94" i="3"/>
  <c r="F61" i="3"/>
  <c r="G30" i="14"/>
  <c r="G21" i="14"/>
  <c r="P90" i="3"/>
  <c r="F108" i="3"/>
  <c r="P101" i="3"/>
  <c r="D28" i="19"/>
  <c r="F109" i="3"/>
  <c r="P98" i="3"/>
  <c r="G64" i="14"/>
  <c r="P95" i="3"/>
  <c r="F95" i="3"/>
  <c r="F88" i="3"/>
  <c r="H140" i="3"/>
  <c r="H139" i="3" s="1"/>
  <c r="G140" i="3"/>
  <c r="G139" i="3" s="1"/>
  <c r="P144" i="3"/>
  <c r="F144" i="3"/>
  <c r="H112" i="3"/>
  <c r="G112" i="3"/>
  <c r="E37" i="3"/>
  <c r="P37" i="3" s="1"/>
  <c r="D36" i="19"/>
  <c r="D32" i="19"/>
  <c r="P50" i="3"/>
  <c r="F90" i="3"/>
  <c r="G119" i="3"/>
  <c r="F114" i="3"/>
  <c r="P113" i="3"/>
  <c r="D21" i="19"/>
  <c r="F99" i="3"/>
  <c r="G71" i="14"/>
  <c r="H55" i="3"/>
  <c r="P88" i="3"/>
  <c r="P133" i="3"/>
  <c r="P25" i="3"/>
  <c r="L84" i="3"/>
  <c r="I56" i="14"/>
  <c r="G56" i="14" s="1"/>
  <c r="P82" i="3"/>
  <c r="F110" i="3"/>
  <c r="I17" i="14"/>
  <c r="P59" i="3"/>
  <c r="H47" i="14"/>
  <c r="G47" i="14" s="1"/>
  <c r="F57" i="3"/>
  <c r="P31" i="3"/>
  <c r="F31" i="3"/>
  <c r="E119" i="3"/>
  <c r="G58" i="14"/>
  <c r="H48" i="14"/>
  <c r="G48" i="14" s="1"/>
  <c r="G19" i="14"/>
  <c r="D29" i="19"/>
  <c r="L91" i="3"/>
  <c r="E53" i="3"/>
  <c r="P53" i="3" s="1"/>
  <c r="P136" i="3"/>
  <c r="F124" i="3"/>
  <c r="P125" i="3"/>
  <c r="G75" i="14"/>
  <c r="G74" i="14"/>
  <c r="G69" i="14"/>
  <c r="D53" i="19"/>
  <c r="I65" i="14"/>
  <c r="G65" i="14" s="1"/>
  <c r="H25" i="14"/>
  <c r="G25" i="14" s="1"/>
  <c r="H29" i="14"/>
  <c r="G29" i="14" s="1"/>
  <c r="H35" i="14"/>
  <c r="G35" i="14" s="1"/>
  <c r="H46" i="14"/>
  <c r="G46" i="14" s="1"/>
  <c r="H89" i="14"/>
  <c r="H88" i="14" s="1"/>
  <c r="G88" i="14" s="1"/>
  <c r="G90" i="14"/>
  <c r="F89" i="3"/>
  <c r="H36" i="14"/>
  <c r="G36" i="14" s="1"/>
  <c r="D38" i="19"/>
  <c r="F69" i="3"/>
  <c r="F27" i="3"/>
  <c r="F28" i="3"/>
  <c r="F32" i="3"/>
  <c r="F141" i="3"/>
  <c r="H84" i="14"/>
  <c r="G84" i="14" s="1"/>
  <c r="H52" i="14"/>
  <c r="G52" i="14" s="1"/>
  <c r="D57" i="19"/>
  <c r="D62" i="19" s="1"/>
  <c r="P138" i="3"/>
  <c r="F135" i="3"/>
  <c r="F136" i="3"/>
  <c r="P75" i="3"/>
  <c r="P79" i="3"/>
  <c r="P81" i="3"/>
  <c r="G57" i="14"/>
  <c r="P69" i="3"/>
  <c r="P94" i="3"/>
  <c r="P85" i="3"/>
  <c r="P91" i="3"/>
  <c r="F75" i="3"/>
  <c r="F79" i="3"/>
  <c r="P128" i="3"/>
  <c r="P135" i="3"/>
  <c r="P137" i="3"/>
  <c r="P39" i="3"/>
  <c r="P52" i="3"/>
  <c r="P58" i="3"/>
  <c r="P60" i="3"/>
  <c r="P62" i="3"/>
  <c r="P64" i="3"/>
  <c r="P68" i="3"/>
  <c r="P73" i="3"/>
  <c r="P77" i="3"/>
  <c r="P78" i="3"/>
  <c r="P83" i="3"/>
  <c r="L39" i="3"/>
  <c r="L54" i="3"/>
  <c r="F39" i="3"/>
  <c r="F52" i="3"/>
  <c r="F58" i="3"/>
  <c r="F60" i="3"/>
  <c r="F62" i="3"/>
  <c r="F64" i="3"/>
  <c r="F68" i="3"/>
  <c r="F73" i="3"/>
  <c r="F80" i="3"/>
  <c r="F83" i="3"/>
  <c r="P141" i="3"/>
  <c r="G20" i="14"/>
  <c r="G26" i="14"/>
  <c r="G27" i="14"/>
  <c r="G32" i="14"/>
  <c r="G41" i="14"/>
  <c r="G66" i="14"/>
  <c r="G68" i="14"/>
  <c r="G77" i="14"/>
  <c r="G85" i="14"/>
  <c r="G86" i="14"/>
  <c r="D19" i="19"/>
  <c r="D34" i="19"/>
  <c r="D51" i="19"/>
  <c r="P27" i="3"/>
  <c r="P28" i="3"/>
  <c r="P29" i="3"/>
  <c r="P32" i="3"/>
  <c r="P35" i="3"/>
  <c r="F38" i="3"/>
  <c r="P38" i="3"/>
  <c r="F40" i="3"/>
  <c r="L40" i="3"/>
  <c r="P40" i="3"/>
  <c r="L41" i="3"/>
  <c r="F42" i="3"/>
  <c r="L42" i="3"/>
  <c r="P42" i="3"/>
  <c r="F43" i="3"/>
  <c r="L43" i="3"/>
  <c r="P43" i="3"/>
  <c r="L44" i="3"/>
  <c r="F45" i="3"/>
  <c r="L45" i="3"/>
  <c r="P45" i="3"/>
  <c r="F56" i="3"/>
  <c r="G55" i="3"/>
  <c r="J55" i="3"/>
  <c r="E63" i="3"/>
  <c r="F63" i="3" s="1"/>
  <c r="F103" i="3"/>
  <c r="F104" i="3"/>
  <c r="F105" i="3"/>
  <c r="F106" i="3"/>
  <c r="F107" i="3"/>
  <c r="F116" i="3"/>
  <c r="F117" i="3"/>
  <c r="P103" i="3"/>
  <c r="P104" i="3"/>
  <c r="P105" i="3"/>
  <c r="P106" i="3"/>
  <c r="P107" i="3"/>
  <c r="P114" i="3"/>
  <c r="P116" i="3"/>
  <c r="P117" i="3"/>
  <c r="P120" i="3"/>
  <c r="F128" i="3"/>
  <c r="F134" i="3"/>
  <c r="F137" i="3"/>
  <c r="F138" i="3"/>
  <c r="L129" i="3"/>
  <c r="L131" i="3"/>
  <c r="L133" i="3"/>
  <c r="F44" i="3"/>
  <c r="P44" i="3"/>
  <c r="H28" i="14"/>
  <c r="G28" i="14" s="1"/>
  <c r="P61" i="3"/>
  <c r="H23" i="14"/>
  <c r="G23" i="14" s="1"/>
  <c r="F49" i="3"/>
  <c r="P56" i="3"/>
  <c r="P49" i="3"/>
  <c r="H87" i="14"/>
  <c r="G87" i="14" s="1"/>
  <c r="F85" i="3"/>
  <c r="F24" i="3"/>
  <c r="F41" i="3"/>
  <c r="P41" i="3"/>
  <c r="D23" i="19"/>
  <c r="P72" i="3"/>
  <c r="P54" i="3"/>
  <c r="F50" i="3"/>
  <c r="F98" i="3"/>
  <c r="P74" i="3"/>
  <c r="E51" i="3"/>
  <c r="P51" i="3" s="1"/>
  <c r="H17" i="14"/>
  <c r="P84" i="3"/>
  <c r="F36" i="3"/>
  <c r="P57" i="3"/>
  <c r="P36" i="3"/>
  <c r="F25" i="3"/>
  <c r="H22" i="14"/>
  <c r="G22" i="14" s="1"/>
  <c r="F46" i="3"/>
  <c r="P46" i="3"/>
  <c r="F72" i="3"/>
  <c r="F66" i="3"/>
  <c r="F113" i="3"/>
  <c r="F35" i="3"/>
  <c r="F101" i="3"/>
  <c r="F74" i="3"/>
  <c r="P110" i="3"/>
  <c r="F59" i="3"/>
  <c r="E140" i="3"/>
  <c r="E139" i="3" s="1"/>
  <c r="F33" i="3"/>
  <c r="F34" i="3" s="1"/>
  <c r="E34" i="3"/>
  <c r="E22" i="3"/>
  <c r="D77" i="19"/>
  <c r="D78" i="19" s="1"/>
  <c r="P30" i="3"/>
  <c r="E26" i="3"/>
  <c r="F48" i="3"/>
  <c r="E47" i="3"/>
  <c r="L99" i="3"/>
  <c r="L97" i="3" s="1"/>
  <c r="P99" i="3"/>
  <c r="E86" i="3"/>
  <c r="F87" i="3"/>
  <c r="F30" i="3"/>
  <c r="P87" i="3"/>
  <c r="P48" i="3"/>
  <c r="H80" i="14"/>
  <c r="G80" i="14" s="1"/>
  <c r="P66" i="3"/>
  <c r="P89" i="3"/>
  <c r="H62" i="14"/>
  <c r="G62" i="14" s="1"/>
  <c r="F118" i="3"/>
  <c r="F119" i="3" s="1"/>
  <c r="P65" i="3"/>
  <c r="F65" i="3"/>
  <c r="P70" i="3"/>
  <c r="P80" i="3"/>
  <c r="F71" i="3"/>
  <c r="F54" i="3"/>
  <c r="F70" i="3"/>
  <c r="D130" i="29"/>
  <c r="D123" i="29" s="1"/>
  <c r="P129" i="3"/>
  <c r="F51" i="3"/>
  <c r="P115" i="3"/>
  <c r="P131" i="3"/>
  <c r="P143" i="3"/>
  <c r="P132" i="3"/>
  <c r="P121" i="3"/>
  <c r="F121" i="3"/>
  <c r="P63" i="3"/>
  <c r="F37" i="3"/>
  <c r="D107" i="29"/>
  <c r="D106" i="29" s="1"/>
  <c r="C65" i="29"/>
  <c r="E97" i="3"/>
  <c r="E96" i="3" s="1"/>
  <c r="F111" i="3"/>
  <c r="F112" i="3" s="1"/>
  <c r="C68" i="29" l="1"/>
  <c r="C107" i="29"/>
  <c r="D29" i="29"/>
  <c r="C80" i="29"/>
  <c r="E91" i="29"/>
  <c r="C91" i="29" s="1"/>
  <c r="P55" i="3"/>
  <c r="P86" i="3"/>
  <c r="C119" i="29"/>
  <c r="D15" i="29"/>
  <c r="C15" i="29" s="1"/>
  <c r="F97" i="3"/>
  <c r="L55" i="3"/>
  <c r="L23" i="3"/>
  <c r="L22" i="3" s="1"/>
  <c r="F55" i="3"/>
  <c r="D64" i="29"/>
  <c r="C64" i="29" s="1"/>
  <c r="P23" i="3"/>
  <c r="P22" i="3" s="1"/>
  <c r="F23" i="3"/>
  <c r="F22" i="3" s="1"/>
  <c r="J145" i="3"/>
  <c r="D40" i="29"/>
  <c r="C40" i="29" s="1"/>
  <c r="E58" i="29"/>
  <c r="E14" i="29" s="1"/>
  <c r="P97" i="3"/>
  <c r="P34" i="3"/>
  <c r="C86" i="29"/>
  <c r="C85" i="29" s="1"/>
  <c r="L127" i="3"/>
  <c r="L126" i="3" s="1"/>
  <c r="N145" i="3"/>
  <c r="N149" i="3" s="1"/>
  <c r="D26" i="19"/>
  <c r="D61" i="19"/>
  <c r="D60" i="19" s="1"/>
  <c r="L96" i="3"/>
  <c r="G89" i="14"/>
  <c r="F127" i="3"/>
  <c r="F126" i="3" s="1"/>
  <c r="G63" i="14"/>
  <c r="E105" i="29"/>
  <c r="E104" i="29" s="1"/>
  <c r="E99" i="29" s="1"/>
  <c r="F26" i="3"/>
  <c r="F110" i="29"/>
  <c r="G153" i="3"/>
  <c r="K149" i="3"/>
  <c r="G61" i="14"/>
  <c r="P140" i="3"/>
  <c r="P139" i="3" s="1"/>
  <c r="C130" i="29"/>
  <c r="C123" i="29" s="1"/>
  <c r="C112" i="29" s="1"/>
  <c r="C111" i="29" s="1"/>
  <c r="H83" i="14"/>
  <c r="H79" i="14"/>
  <c r="H78" i="14" s="1"/>
  <c r="G78" i="14" s="1"/>
  <c r="G17" i="14"/>
  <c r="G39" i="14"/>
  <c r="H145" i="3"/>
  <c r="H149" i="3" s="1"/>
  <c r="G37" i="14"/>
  <c r="I16" i="14"/>
  <c r="I15" i="14" s="1"/>
  <c r="I91" i="14" s="1"/>
  <c r="G53" i="14"/>
  <c r="P96" i="3"/>
  <c r="F96" i="3"/>
  <c r="D27" i="30"/>
  <c r="D35" i="30" s="1"/>
  <c r="D25" i="30"/>
  <c r="C17" i="30"/>
  <c r="C27" i="30" s="1"/>
  <c r="E27" i="30"/>
  <c r="E35" i="30" s="1"/>
  <c r="E25" i="30"/>
  <c r="F27" i="30"/>
  <c r="F35" i="30" s="1"/>
  <c r="F25" i="30"/>
  <c r="D112" i="29"/>
  <c r="D111" i="29" s="1"/>
  <c r="E112" i="29"/>
  <c r="E111" i="29" s="1"/>
  <c r="D105" i="29"/>
  <c r="C106" i="29"/>
  <c r="P26" i="3"/>
  <c r="P127" i="3"/>
  <c r="P126" i="3" s="1"/>
  <c r="G145" i="3"/>
  <c r="G149" i="3" s="1"/>
  <c r="E145" i="3"/>
  <c r="H16" i="14"/>
  <c r="C58" i="29"/>
  <c r="F86" i="3"/>
  <c r="F53" i="3"/>
  <c r="P47" i="3"/>
  <c r="F47" i="3"/>
  <c r="F140" i="3"/>
  <c r="F139" i="3" s="1"/>
  <c r="J16" i="14"/>
  <c r="J15" i="14" s="1"/>
  <c r="J91" i="14" s="1"/>
  <c r="P92" i="14" s="1"/>
  <c r="C32" i="29"/>
  <c r="D31" i="29"/>
  <c r="D82" i="19"/>
  <c r="D81" i="19" s="1"/>
  <c r="C73" i="29"/>
  <c r="D72" i="29"/>
  <c r="F112" i="29"/>
  <c r="F111" i="29" s="1"/>
  <c r="E112" i="3"/>
  <c r="P112" i="3" s="1"/>
  <c r="P111" i="3"/>
  <c r="C29" i="29" l="1"/>
  <c r="D23" i="29"/>
  <c r="C23" i="29" s="1"/>
  <c r="E63" i="29"/>
  <c r="E110" i="29" s="1"/>
  <c r="F141" i="29"/>
  <c r="F144" i="29"/>
  <c r="D39" i="29"/>
  <c r="C39" i="29" s="1"/>
  <c r="C99" i="29"/>
  <c r="G79" i="14"/>
  <c r="L145" i="3"/>
  <c r="L149" i="3" s="1"/>
  <c r="F61" i="19"/>
  <c r="O92" i="14"/>
  <c r="N92" i="14"/>
  <c r="F134" i="29"/>
  <c r="H150" i="3"/>
  <c r="G150" i="3"/>
  <c r="E153" i="3"/>
  <c r="E149" i="3"/>
  <c r="F153" i="3"/>
  <c r="J149" i="3"/>
  <c r="C25" i="30"/>
  <c r="C35" i="30" s="1"/>
  <c r="G83" i="14"/>
  <c r="H82" i="14"/>
  <c r="G82" i="14" s="1"/>
  <c r="F145" i="3"/>
  <c r="F149" i="3" s="1"/>
  <c r="C72" i="29"/>
  <c r="D63" i="29"/>
  <c r="G16" i="14"/>
  <c r="H15" i="14"/>
  <c r="C31" i="29"/>
  <c r="P145" i="3"/>
  <c r="P149" i="3" s="1"/>
  <c r="D104" i="29"/>
  <c r="C104" i="29" s="1"/>
  <c r="C105" i="29"/>
  <c r="E144" i="29" l="1"/>
  <c r="E141" i="29"/>
  <c r="E134" i="29"/>
  <c r="F152" i="3" s="1"/>
  <c r="C63" i="29"/>
  <c r="D14" i="29"/>
  <c r="C14" i="29" s="1"/>
  <c r="F150" i="3"/>
  <c r="J150" i="3"/>
  <c r="G152" i="3"/>
  <c r="G154" i="3" s="1"/>
  <c r="G158" i="3" s="1"/>
  <c r="F154" i="3"/>
  <c r="F158" i="3" s="1"/>
  <c r="G15" i="14"/>
  <c r="G91" i="14" s="1"/>
  <c r="L92" i="14" s="1"/>
  <c r="H91" i="14"/>
  <c r="M92" i="14" s="1"/>
  <c r="D110" i="29" l="1"/>
  <c r="D141" i="29"/>
  <c r="D144" i="29"/>
  <c r="I158" i="3"/>
  <c r="C110" i="29"/>
  <c r="C144" i="29" s="1"/>
  <c r="D134" i="29"/>
  <c r="C134" i="29" l="1"/>
  <c r="C141" i="29"/>
  <c r="E152" i="3"/>
  <c r="E154" i="3" s="1"/>
  <c r="E158" i="3" s="1"/>
</calcChain>
</file>

<file path=xl/sharedStrings.xml><?xml version="1.0" encoding="utf-8"?>
<sst xmlns="http://schemas.openxmlformats.org/spreadsheetml/2006/main" count="1318" uniqueCount="758">
  <si>
    <t>Програма розвитку територіальної оборони Звенигородської міської територіальної громади  для військової частини  А7325 Сил територіальної оборони Збройних Сил України на 2022–2025 роки</t>
  </si>
  <si>
    <t>Програма підтримки та соціального захисту внутрішньо переміщених осіб у Звенигородській міській територіальній громаді на 2022-2023 роки</t>
  </si>
  <si>
    <t>рішення міської ради від 30.09.2022 № 20-19</t>
  </si>
  <si>
    <t>Субвенція з місцевого бюджету за рахунок коштів освітньої субвенції, що утворився на початок бюджетного періоду</t>
  </si>
  <si>
    <t>02 0 0000</t>
  </si>
  <si>
    <t>02 1 0000</t>
  </si>
  <si>
    <t>02 1 2010</t>
  </si>
  <si>
    <t>02 1 2111</t>
  </si>
  <si>
    <t>02 1 2146</t>
  </si>
  <si>
    <t>02 1 2152</t>
  </si>
  <si>
    <t>02 1 3112</t>
  </si>
  <si>
    <t>02 1 3121</t>
  </si>
  <si>
    <t>02 1 3131</t>
  </si>
  <si>
    <t>02 1 8110</t>
  </si>
  <si>
    <t>02 1 8120</t>
  </si>
  <si>
    <t>Утримання та розвиток автомобільних доріг та дорожньої інфраструктури за рахунок коштів місцевого бюджету</t>
  </si>
  <si>
    <t>0456</t>
  </si>
  <si>
    <t>02 1 7461</t>
  </si>
  <si>
    <t>06 1 0000</t>
  </si>
  <si>
    <t>06 1 1010</t>
  </si>
  <si>
    <t>06 1 3140</t>
  </si>
  <si>
    <t>06 1 5031</t>
  </si>
  <si>
    <t xml:space="preserve">10 0 0000 </t>
  </si>
  <si>
    <t>10 1 4030</t>
  </si>
  <si>
    <t>10 1 4040</t>
  </si>
  <si>
    <t>10 1 4060</t>
  </si>
  <si>
    <t>10 1 4081</t>
  </si>
  <si>
    <t>10 1 4082</t>
  </si>
  <si>
    <t>Найменування програми</t>
  </si>
  <si>
    <t>грн.</t>
  </si>
  <si>
    <t>Податок на доходи фізичних осіб, що сплачується податковими агентами, із доходів платника податку інших ніж заробітна плата</t>
  </si>
  <si>
    <t xml:space="preserve">видатки споживапння </t>
  </si>
  <si>
    <t>видатки розвитку</t>
  </si>
  <si>
    <t>видатки споживання</t>
  </si>
  <si>
    <t>Найменування
згідно з типовою відомчою/тимчасовою класифікацією видатків та кредитування місцевого бюджету</t>
  </si>
  <si>
    <t>0111</t>
  </si>
  <si>
    <t>0133</t>
  </si>
  <si>
    <t>0731</t>
  </si>
  <si>
    <t>0763</t>
  </si>
  <si>
    <t>1040</t>
  </si>
  <si>
    <t>0810</t>
  </si>
  <si>
    <t>0320</t>
  </si>
  <si>
    <t>0921</t>
  </si>
  <si>
    <t>0960</t>
  </si>
  <si>
    <t>0990</t>
  </si>
  <si>
    <t>0824</t>
  </si>
  <si>
    <t>0828</t>
  </si>
  <si>
    <t>0829</t>
  </si>
  <si>
    <t>0910</t>
  </si>
  <si>
    <t>1030</t>
  </si>
  <si>
    <t>1070</t>
  </si>
  <si>
    <t>1060</t>
  </si>
  <si>
    <t>1090</t>
  </si>
  <si>
    <t>1010</t>
  </si>
  <si>
    <t>1020</t>
  </si>
  <si>
    <t>0180</t>
  </si>
  <si>
    <t>06 0 0000</t>
  </si>
  <si>
    <t>37 0 0000</t>
  </si>
  <si>
    <t>37 1 0000</t>
  </si>
  <si>
    <t>37 1 9770</t>
  </si>
  <si>
    <t>Найменування згідно
 з класифікацією доходів бюджету</t>
  </si>
  <si>
    <t>в т.ч. бюджет розвитку</t>
  </si>
  <si>
    <t>Податки на доходи, податки на прибуток, податки на збільшення ринкової вартості  </t>
  </si>
  <si>
    <t>Податок та збір на доходи фізичних осіб</t>
  </si>
  <si>
    <t>Податок на прибуток підприємств та фінансових установ комунальної власності </t>
  </si>
  <si>
    <t>Адміністративні збори та платежі, доходи від некомерційної господарської діяльності </t>
  </si>
  <si>
    <t xml:space="preserve">                                                                                                                                                                                                                                 </t>
  </si>
  <si>
    <t xml:space="preserve">Секретар міської ради                                                                                                                                           </t>
  </si>
  <si>
    <t xml:space="preserve">   Володимир Низенко  </t>
  </si>
  <si>
    <t>рішення міської ради від 26.11.2021 № 16-14</t>
  </si>
  <si>
    <t>рішення міської ради від 26.11.2021 № 16-10</t>
  </si>
  <si>
    <t>рішення міської ради від 26.11.2021 № 16-12</t>
  </si>
  <si>
    <t xml:space="preserve"> Програма імунопрофілактики та захисту населення від інфекційних хвороб на 2022-2024 роки Звенигородської міської ради</t>
  </si>
  <si>
    <t>Програма медичного забезпечення хворих пільгових та соціально незахищених верств населення у разі амбулаторного лікування на 2022-2024 роки Звенигородської міської ради.</t>
  </si>
  <si>
    <t>Програма забезпечення інвалідів та дітей-інвалідів технічними засобами на 2022-2024 роки Звенигородської міської ради</t>
  </si>
  <si>
    <t>рішення міської ради від 26.11.2021 № 16-13</t>
  </si>
  <si>
    <t>Дотація з місцевого бюджету на проведення розрахунків протягом опалювального періоду за комунальні послуги та енергоносії,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</si>
  <si>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в т.ч.за рахунок дотації з місцевого бюджету на проведення розрахунків протягом опалювального періоду за комунальні послуги та енергоносії,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</si>
  <si>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Програма забезпечення адаптованими молочними сумішами дітей, народжених від ВІЛ-інфікованих матерів на 2022-2024 роки Звенигородської міської ради</t>
  </si>
  <si>
    <t>рішення міської ради від 26.11.2021 № 16-11</t>
  </si>
  <si>
    <t>рішення міської ради від 17.12.2021 № 17-5</t>
  </si>
  <si>
    <t>Програма благоустрою території Звенигородської міської ради на 2022-2023 роки</t>
  </si>
  <si>
    <t>рішення міської ради від 17.12.2021 № 17-6</t>
  </si>
  <si>
    <t>рішення міської ради від 17.12.2021 № 17-7</t>
  </si>
  <si>
    <t>Програма підтримки перевізників на 2022-2023 роки</t>
  </si>
  <si>
    <t>Надходження від орендної плати за користування цілісним майновим комплексом та іншим державним майном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</si>
  <si>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</si>
  <si>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</si>
  <si>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Відділ культури, молоді, спорту та туризму Звенигородської  міської ради</t>
  </si>
  <si>
    <t>Відділ освіти Звенигородської  міської ради</t>
  </si>
  <si>
    <t>Відділ освіти Звенигородської міської ради</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</si>
  <si>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</si>
  <si>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0726</t>
  </si>
  <si>
    <t>в т.ч. за рахунок коштів обласного бюджету</t>
  </si>
  <si>
    <t>Освітня субвенція з державного бюджету місцевим бюджетам</t>
  </si>
  <si>
    <t>10 1 0000</t>
  </si>
  <si>
    <t>4060</t>
  </si>
  <si>
    <t>Первинна медична допомога населенню, що надається центрами первинної медичної (медико-санітарної) допомоги</t>
  </si>
  <si>
    <t>Програма «Призовна дільниця» на 2023-2025 роки</t>
  </si>
  <si>
    <t xml:space="preserve">Програма функціонування та розвитку системи цивільного захисту, забезпечення пожежної та техногенної безпеки Звенигородської міської територіальної громади на 2021–2025 роки </t>
  </si>
  <si>
    <t>рішення міської ради від 10.09.2021 №14-11</t>
  </si>
  <si>
    <t xml:space="preserve"> Надання загальної середньої освіти закладами загальної середньої освіти за рахунок коштів місцевого бюджету</t>
  </si>
  <si>
    <t xml:space="preserve"> Надання загальної середньої освіти закладами загальної середньої освіти за рахунок освітньої субвенції</t>
  </si>
  <si>
    <t xml:space="preserve">Програма "Безпечне місто" Звенигородської територіальної громади на 2023-2024 роки </t>
  </si>
  <si>
    <t>Програма "Трудовий архів Звенигородської міської ради"  на 2023-2024 роки</t>
  </si>
  <si>
    <t>Програма розвитку духовності, культури на 2023-2024 роки</t>
  </si>
  <si>
    <t>Штрафні санкції, що застосовуються відповідно до Закону України «Про державне регулювання виробництва і обігу спирту етилового, коньячного і плодового, алкогольних напоїв, тютюнових виробів, рідин, що використовуються в електронних сигаретах, та пального»</t>
  </si>
  <si>
    <t>Відшкодування вартості лікарських засобів для лікування окремих захворювань</t>
  </si>
  <si>
    <t>Інші програми та заходи у сфері охорони здоров’я</t>
  </si>
  <si>
    <t>в т.ч. за рахунок іншої субвенції з обласного бюджету</t>
  </si>
  <si>
    <t>в т.ч. за рахунок субвенції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</si>
  <si>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Надання позашкільної освіти закладами позашкільної освіти, заходи із позашкільної роботи з дітьми</t>
  </si>
  <si>
    <t>у тому числі</t>
  </si>
  <si>
    <t>в т.ч. за рахунок субвенції  з місцевого бюджету на здійснення переданих видатків у сфері освіти за рахунок коштів освітньої субвенції</t>
  </si>
  <si>
    <t xml:space="preserve">Усього </t>
  </si>
  <si>
    <t>Усього доходів (без урахування міжбюджетних трансфертів)</t>
  </si>
  <si>
    <t>в т.ч. за рахунок  залишку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</si>
  <si>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06 1 1021</t>
  </si>
  <si>
    <t>1021</t>
  </si>
  <si>
    <t>06 1 1031</t>
  </si>
  <si>
    <t>1031</t>
  </si>
  <si>
    <t>06 1 1151</t>
  </si>
  <si>
    <t>1151</t>
  </si>
  <si>
    <t>Забезпечення діяльності інклюзивно-ресурсних центрів за рахунок коштів місцевого бюджету</t>
  </si>
  <si>
    <t>06 1 1152</t>
  </si>
  <si>
    <t>1152</t>
  </si>
  <si>
    <t>Забезпечення діяльності інклюзивно-ресурсних центрів за рахунок освітньої субвенції</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</si>
  <si>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</si>
  <si>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</si>
  <si>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06 1 1200</t>
  </si>
  <si>
    <t>02 1 2141</t>
  </si>
  <si>
    <t>2141</t>
  </si>
  <si>
    <t xml:space="preserve">Програми і централізовані заходи з імунопрофілактики </t>
  </si>
  <si>
    <t>06 1 1181</t>
  </si>
  <si>
    <t>1181</t>
  </si>
  <si>
    <t>Співфінансування заходів, що реалізуються за рахунок субвенції здержавного бюджету місцевим бюджетам на забезпечення якісної, сучасної та доступної загальної середньої освіти "Нова українська школа"</t>
  </si>
  <si>
    <t xml:space="preserve"> 10 1 5061</t>
  </si>
  <si>
    <t>06 1 1182</t>
  </si>
  <si>
    <t>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</si>
  <si>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</si>
  <si>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02 1 7390</t>
  </si>
  <si>
    <t>Розвиток мережі центрів надання адміністративних послуг</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</si>
  <si>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</si>
  <si>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утворилися на початок бюджетного періоду</t>
  </si>
  <si>
    <t>Субвенція з державного бюджету місцевим бюджетам на розвиток мережі центрів надання адміністративних послуг</t>
  </si>
  <si>
    <t xml:space="preserve">Секретар міської ради                                                          Володимир Низенко                                                                                                                                                  </t>
  </si>
  <si>
    <t xml:space="preserve"> Володимир Низенко        </t>
  </si>
  <si>
    <t xml:space="preserve">  Володимир Низенко      </t>
  </si>
  <si>
    <t>Програма сприяння створенню ОСББ та підтримки будинків ОСББ на 2021-2025 роки</t>
  </si>
  <si>
    <t>рішення міської ради від 26.03.2021 № 7-7</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</si>
  <si>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</si>
  <si>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рішення міської ради від 24.12.2020 № 4-3/VIII</t>
  </si>
  <si>
    <t>рішення міської ради від 24.12.2020 № 4-4/VIII</t>
  </si>
  <si>
    <t>рішення міської ради від 24.12.2020 № 4-14/VIII</t>
  </si>
  <si>
    <t>рішення міської ради від 24.12.2020 № 4-6/VIII</t>
  </si>
  <si>
    <t>рішення міської ради від 24.12.2020 № 4-16/VIII</t>
  </si>
  <si>
    <t>1160</t>
  </si>
  <si>
    <t>06 1 1160</t>
  </si>
  <si>
    <t>Забезпечення діяльності центрів професійного розвитку педагогічних працівників</t>
  </si>
  <si>
    <t>9770</t>
  </si>
  <si>
    <t>Надходження коштів пайової участі у розвитку інфраструктури населеного пункту</t>
  </si>
  <si>
    <t>Місцеві податки та збори, що сплачуються (перераховуються) згідно з Податковим кодексом України</t>
  </si>
  <si>
    <t>Плата за розміщення тимчасово вільних коштів місцевих бюджетів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</si>
  <si>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</si>
  <si>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Податкові надходження  </t>
  </si>
  <si>
    <t>Податок на прибуток підприємств  </t>
  </si>
  <si>
    <t>02 1 3230</t>
  </si>
  <si>
    <t>3230</t>
  </si>
  <si>
    <t>Видатки, пов`язані з наданням підтримки внутрішньо переміщеним та/або евакуйованим особам у зв`язку із введенням воєнного стану</t>
  </si>
  <si>
    <t>рішення міської ради від 26.02.2021 № 6-47</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</si>
  <si>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</si>
  <si>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</si>
  <si>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в т.ч. за рахунок дотації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</si>
  <si>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02 1 4082</t>
  </si>
  <si>
    <t xml:space="preserve">Програма розвитку фізичної культури і спорту  на 2021-2023 роки </t>
  </si>
  <si>
    <t>10 1 5061</t>
  </si>
  <si>
    <t>Програма розвитку футболу на 2021-2023 роки</t>
  </si>
  <si>
    <t>Програма організації рятування людей на водних об’єктах на 2021-2023 роки</t>
  </si>
  <si>
    <t>Програма реформування системи інституційного догляду та виховання дітей на 2021-2025 роки</t>
  </si>
  <si>
    <t>Бюджет Ватутінської міської територіальної громади</t>
  </si>
  <si>
    <t>в т.ч: на здійснення видатків з придбання генератора  для Звенигородського будинку-інтернату для інвалідів та престарілих</t>
  </si>
  <si>
    <t>Бюджет Тальнівської міської територіальної громади</t>
  </si>
  <si>
    <t>Інші субвенції з місцевого бюджету</t>
  </si>
  <si>
    <t>рішення міської ради від 11.11.2022 № 20-59</t>
  </si>
  <si>
    <t>Доходи бюджету Звенигородської міської територіальної громади на 2023 рік</t>
  </si>
  <si>
    <t>Розподіл видатків  бюджету Звенигородської міської територіальної громади на 2023 рік</t>
  </si>
  <si>
    <t>Код Програмної класифікації видатків та кредитування місцевого бюджету</t>
  </si>
  <si>
    <t>Міжбюджетні трансферти на 2023 рік</t>
  </si>
  <si>
    <t>10000000</t>
  </si>
  <si>
    <t>11000000</t>
  </si>
  <si>
    <t>11010000</t>
  </si>
  <si>
    <t>11010100</t>
  </si>
  <si>
    <t>11010200</t>
  </si>
  <si>
    <t>11010400</t>
  </si>
  <si>
    <t>11010500</t>
  </si>
  <si>
    <t>11020000</t>
  </si>
  <si>
    <t>11020200</t>
  </si>
  <si>
    <t>13000000</t>
  </si>
  <si>
    <t>Рентна плата та плата за використання інших природних ресурсів</t>
  </si>
  <si>
    <t>13010000</t>
  </si>
  <si>
    <t>Рентна плата за спеціальне використання лісових ресурсів</t>
  </si>
  <si>
    <t>13010100</t>
  </si>
  <si>
    <t>Рентна плата за спеціальне використання лісових ресурсів в частині деревини, заготовленої в порядку рубок головного користування</t>
  </si>
  <si>
    <t>13010200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</si>
  <si>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</si>
  <si>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13030000</t>
  </si>
  <si>
    <t>Рентна плата за користування надрами загальнодержавного значення</t>
  </si>
  <si>
    <t>13030100</t>
  </si>
  <si>
    <t>Рентна плата за користування надрами для видобування інших корисних копалин загальнодержавного значення</t>
  </si>
  <si>
    <t>13040000</t>
  </si>
  <si>
    <t>Рентна плата за користування надрами місцевого значення</t>
  </si>
  <si>
    <t>13040100</t>
  </si>
  <si>
    <t>Рентна плата за користування надрами для видобування корисних копалин місцевого значення</t>
  </si>
  <si>
    <t>14020000</t>
  </si>
  <si>
    <t>Акцизний податок з вироблених в Україні підакцизних товарів (продукції)</t>
  </si>
  <si>
    <t>14030000</t>
  </si>
  <si>
    <t>14040000</t>
  </si>
  <si>
    <t>Акцизний податок з реалізації суб’єктами господарювання роздрібної торгівлі підакцизних товарів</t>
  </si>
  <si>
    <t>Акцизний податок з реалізації виробниками та/або імпортерами, у тому числі в роздрібній торгівлі тютюнових виробів, тютюну та промислових замінників тютюну, рідин, що використовуються в електронних сигаретах, що оподатковується згідно з підпунктом 213.1.14 пункту 213.1 статті 213 Податкового кодексу України</t>
  </si>
  <si>
    <t>14040200</t>
  </si>
  <si>
    <t>18000000</t>
  </si>
  <si>
    <t>Місцеві податки та збори, що сплачуються (перераховуються) згідно з Податковим кодексом України</t>
  </si>
  <si>
    <t>18010000</t>
  </si>
  <si>
    <t>Податок на майно</t>
  </si>
  <si>
    <t>18010100</t>
  </si>
  <si>
    <t>18010200</t>
  </si>
  <si>
    <t>Податок на нерухоме майно, відмінне від земельної ділянки, сплачений фізичними особами, які є власниками об`єктів житлової нерухомості</t>
  </si>
  <si>
    <t>18010300</t>
  </si>
  <si>
    <t>Податок на нерухоме майно, відмінне від земельної ділянки, сплачений фізичними особами, які є власниками об`єктів нежитлової нерухомості</t>
  </si>
  <si>
    <t>18010400</t>
  </si>
  <si>
    <t>18010500</t>
  </si>
  <si>
    <t>Земельний податок з юридичних осіб</t>
  </si>
  <si>
    <t>18010600</t>
  </si>
  <si>
    <t>Орендна плата з юридичних осіб</t>
  </si>
  <si>
    <t>18010700</t>
  </si>
  <si>
    <t>Земельний податок з фізичних осіб</t>
  </si>
  <si>
    <t>18010900</t>
  </si>
  <si>
    <t>Орендна плата з фізичних осіб</t>
  </si>
  <si>
    <t>18011000</t>
  </si>
  <si>
    <t>Транспортний податок з фізичних осіб</t>
  </si>
  <si>
    <t>18011100</t>
  </si>
  <si>
    <t>Транспортний податок з юридичних осіб</t>
  </si>
  <si>
    <t>18030000</t>
  </si>
  <si>
    <t>Туристичний збір </t>
  </si>
  <si>
    <t>18030200</t>
  </si>
  <si>
    <t>Туристичний збір, сплачений фізичними особами </t>
  </si>
  <si>
    <t>18050000</t>
  </si>
  <si>
    <t>18050300</t>
  </si>
  <si>
    <t>18050400</t>
  </si>
  <si>
    <t>18050500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</si>
  <si>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</si>
  <si>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19000000</t>
  </si>
  <si>
    <t>19010100</t>
  </si>
  <si>
    <t>19010200</t>
  </si>
  <si>
    <t>19010300</t>
  </si>
  <si>
    <t>20000000</t>
  </si>
  <si>
    <t>21000000</t>
  </si>
  <si>
    <t>21010000</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</si>
  <si>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</si>
  <si>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21010300</t>
  </si>
  <si>
    <t>21050000</t>
  </si>
  <si>
    <t>21080000</t>
  </si>
  <si>
    <t>21081100</t>
  </si>
  <si>
    <t>21081500</t>
  </si>
  <si>
    <t>22000000</t>
  </si>
  <si>
    <t>22010000</t>
  </si>
  <si>
    <t>22010300</t>
  </si>
  <si>
    <t>Адміністративний збір за проведення державної реєстрації юридичних осіб,  фізичних осіб – підприємців та громадських формувань</t>
  </si>
  <si>
    <t>22012500</t>
  </si>
  <si>
    <t>22012600</t>
  </si>
  <si>
    <t>Адміністративний збір за державну реєстрацію речових прав на нерухоме майно та їх обтяжень</t>
  </si>
  <si>
    <t>22012900</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</si>
  <si>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</si>
  <si>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22080000</t>
  </si>
  <si>
    <t>22080400</t>
  </si>
  <si>
    <t>Надходження від орендної плати за користування майновим комплексом та іншим майном, що перебуває в комунальній власності</t>
  </si>
  <si>
    <t>22090000</t>
  </si>
  <si>
    <t>22090100</t>
  </si>
  <si>
    <t>22090400</t>
  </si>
  <si>
    <t>22130000</t>
  </si>
  <si>
    <t>Орендна плата за водні об’єкти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t>
  </si>
  <si>
    <t>24000000</t>
  </si>
  <si>
    <t>24060000</t>
  </si>
  <si>
    <t>24060300</t>
  </si>
  <si>
    <t>25000000</t>
  </si>
  <si>
    <t>25010100</t>
  </si>
  <si>
    <t>25010300</t>
  </si>
  <si>
    <t>Плата за оренду майна бюджетних установ, що здійснюється відповідного до Закону України «Про оренду державного та комунального майна»</t>
  </si>
  <si>
    <t>25020100</t>
  </si>
  <si>
    <t>25020200</t>
  </si>
  <si>
    <t>Надходження, що отримають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</si>
  <si>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30000000</t>
  </si>
  <si>
    <t>Доходи від операцій з капіталом  </t>
  </si>
  <si>
    <t>31000000</t>
  </si>
  <si>
    <t>Надходження від продажу основного капіталу  </t>
  </si>
  <si>
    <t>31010000</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</si>
  <si>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</si>
  <si>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31010200</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</si>
  <si>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</si>
  <si>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31030000</t>
  </si>
  <si>
    <t>33010100</t>
  </si>
  <si>
    <t>33010500</t>
  </si>
  <si>
    <t>Кошти від викупу земельних ділянок сільськогосподарського призначення державної та комунальної власності, передбачених пунктом 6(1) розділу Х «Перехідні положення» Земельного кодексу України</t>
  </si>
  <si>
    <t>40000000</t>
  </si>
  <si>
    <t>41000000</t>
  </si>
  <si>
    <t>41020000</t>
  </si>
  <si>
    <t>41030000</t>
  </si>
  <si>
    <t>41033900</t>
  </si>
  <si>
    <t>41040000</t>
  </si>
  <si>
    <t>Дотації з місцевих бюджетів іншим місцевим бюджетам</t>
  </si>
  <si>
    <t>41040200</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</si>
  <si>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</si>
  <si>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41040400</t>
  </si>
  <si>
    <t>Інші дотації з місцевого бюджету</t>
  </si>
  <si>
    <t>41040500</t>
  </si>
  <si>
    <t>41050000</t>
  </si>
  <si>
    <t>Субвенції з місцевих бюджетів іншим місцевим бюджетам</t>
  </si>
  <si>
    <t>41051000</t>
  </si>
  <si>
    <t>41051200</t>
  </si>
  <si>
    <t>41053900</t>
  </si>
  <si>
    <t>Кошти від відчуження майна, що належить Автономній Республіці Крим та майна, що перебуває в комунальній власності  </t>
  </si>
  <si>
    <t>Програма регулювання чисельності безпритульних тварин на території Звенигородської міської ради гуманними методами на 2021-2025 роки</t>
  </si>
  <si>
    <t>Внутрішні податки на товари та послуги  </t>
  </si>
  <si>
    <t>Пальне</t>
  </si>
  <si>
    <t>Акцизний податок з ввезених на митну територію України підакцизних товарів (продукції) </t>
  </si>
  <si>
    <t>Єдиний податок  </t>
  </si>
  <si>
    <t>Єдиний податок з юридичних осіб </t>
  </si>
  <si>
    <t>Єдиний податок з фізичних осіб </t>
  </si>
  <si>
    <t>Код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</si>
  <si>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</si>
  <si>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Інші податки та збори </t>
  </si>
  <si>
    <t>Екологічний податок </t>
  </si>
  <si>
    <t>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t>
  </si>
  <si>
    <t>Надходження від скидів забруднюючих речовин безпосередньо у водні об`єкти </t>
  </si>
  <si>
    <t>Субвенція з місцевого бюджету державному бюджету на фінансування діяльності військових адміністрацій із виконання повноважень органів місцевого самоврядування</t>
  </si>
  <si>
    <t>Інша дотації з місцевого бюджету</t>
  </si>
  <si>
    <t>14040100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</si>
  <si>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</si>
  <si>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</si>
  <si>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</si>
  <si>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</si>
  <si>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</si>
  <si>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</si>
  <si>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Плата за надання інших адміністративних послуг</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</si>
  <si>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</si>
  <si>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</si>
  <si>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</si>
  <si>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Інші неподаткові надходження  </t>
  </si>
  <si>
    <t>Програма підтримки молоді на 2023-2024 роки в Звенигородській територіальній громаді</t>
  </si>
  <si>
    <t>рішення міської ради від 16.12.2022 №</t>
  </si>
  <si>
    <t>Програма «Депутатська підтримка населення в Звенигородській міській територіальній громаді на 2023-2025 роки»</t>
  </si>
  <si>
    <t>«Розвитку духовності, культури на 2023-2024 роки»</t>
  </si>
  <si>
    <t>Програма землеустрою в Звенигородській територіальній громаді на 2023-2025 роки</t>
  </si>
  <si>
    <t>Програма надання одноразової допомоги дітям-сиротам і дітям, позбавленим батьківського піклування,  після досягнення 18-річного віку на 2023 рік</t>
  </si>
  <si>
    <t xml:space="preserve">Програма охорони навколишнього природнього середовища в Звенигородській територіальній громаді на 2023-2025 роки </t>
  </si>
  <si>
    <t>Програма оздоровлення та відпочинку дітей на 2021-2025 роки</t>
  </si>
  <si>
    <t>рішення міської ради від 28.05.2021 № 9-5</t>
  </si>
  <si>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</si>
  <si>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Власні надходження бюджетних установ  </t>
  </si>
  <si>
    <t>Цільові фонди  </t>
  </si>
  <si>
    <t>Офіційні трансферти  </t>
  </si>
  <si>
    <t>Від органів державного управління  </t>
  </si>
  <si>
    <t>Субвенції з державного бюджету місцевим бюджетам</t>
  </si>
  <si>
    <t>X</t>
  </si>
  <si>
    <t>Разом доходів</t>
  </si>
  <si>
    <t>Дотації з державного бюджету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</si>
  <si>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</si>
  <si>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</si>
  <si>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державного бюджету місцевим бюджетам на здійснення заходів щодо соціально-економічного розвитку окремих територій</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</si>
  <si>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</si>
  <si>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06 1 1210</t>
  </si>
  <si>
    <t>1210</t>
  </si>
  <si>
    <t>рішення міської ради від 28.05.2021 № 9-21</t>
  </si>
  <si>
    <t>Програма організаційного забезпечення діяльності роботи Звенигородського міськрайонного сектору філії Державної установи «Центр пробації»  в Черкаській області на період 2021 -2023 роки</t>
  </si>
  <si>
    <t xml:space="preserve">Утримання та забезпечення діяльності центрів соціальних служб </t>
  </si>
  <si>
    <t>Надання фінансової підтримки громадським об"єднанням ветеранів і осіб з інвалідністю, діяльність яких має соціальну спрямованість</t>
  </si>
  <si>
    <t>Державне мито, пов`язане з видачею та оформленням закордонних паспортів (посвідок) та паспортів громадян України  </t>
  </si>
  <si>
    <t>Благодійні внески, гранти та дарунки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</si>
  <si>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</si>
  <si>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</si>
  <si>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</si>
  <si>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</si>
  <si>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</si>
  <si>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Резервний фонд місцевого бюджету</t>
  </si>
  <si>
    <t>Керівництво і управління у відповідній сфері у містах (місті Києві), селищах, селах,  територіальних громадах</t>
  </si>
  <si>
    <t>10 1 1080</t>
  </si>
  <si>
    <t>1080</t>
  </si>
  <si>
    <t>06 1 1070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</si>
  <si>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</si>
  <si>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06 1 1142</t>
  </si>
  <si>
    <t>1142</t>
  </si>
  <si>
    <t>06 1 1141</t>
  </si>
  <si>
    <t>1141</t>
  </si>
  <si>
    <t>Бюджет Водяницької сільської територіальної громади</t>
  </si>
  <si>
    <t>Бюджет Шевченківської сільської територіальної громади</t>
  </si>
  <si>
    <t>Обласний бюджет Черкаської області</t>
  </si>
  <si>
    <t xml:space="preserve">Секретар міської ради  </t>
  </si>
  <si>
    <t>Субвенція з місцевого бюджету на здійснення переданих видатків у сфері освіти за рахунок коштів освітньої субвенції</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</si>
  <si>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</si>
  <si>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02 1 7413</t>
  </si>
  <si>
    <t>0451</t>
  </si>
  <si>
    <t>Інші заходи у сфері автотранспорту</t>
  </si>
  <si>
    <t>02 1 9800</t>
  </si>
  <si>
    <t>9800</t>
  </si>
  <si>
    <t xml:space="preserve">Субвенція з місцевого бюджету державному бюджету на виконання програм соціально-економічного розвитку регіонів </t>
  </si>
  <si>
    <t>10 1 8420</t>
  </si>
  <si>
    <t>8420</t>
  </si>
  <si>
    <t>0830</t>
  </si>
  <si>
    <t>Інші заходи у сфері засобів масової інформації</t>
  </si>
  <si>
    <t>Керівництво і управління у відповідній сфері у містах (місті Києві), селищах, селах, об’єднаних територіальних громадах</t>
  </si>
  <si>
    <t>Виконавчий комітет Звенигородської міської ради</t>
  </si>
  <si>
    <t>02 1 0160</t>
  </si>
  <si>
    <t xml:space="preserve"> в т.ч. за рахунок коштів міського бюджету</t>
  </si>
  <si>
    <t xml:space="preserve"> в т.ч. за рахунок коштів місцевого бюджету</t>
  </si>
  <si>
    <t>02 1 3050</t>
  </si>
  <si>
    <t>02 1 3090</t>
  </si>
  <si>
    <t>02 1 3104</t>
  </si>
  <si>
    <t>02 1 3105</t>
  </si>
  <si>
    <t>02 1 3171</t>
  </si>
  <si>
    <t>02 1 3192</t>
  </si>
  <si>
    <t>02 1 3242</t>
  </si>
  <si>
    <t>37 1 8710</t>
  </si>
  <si>
    <t>8710</t>
  </si>
  <si>
    <t>Фінансове управління Звенигородської міської ради</t>
  </si>
  <si>
    <t>10 1 0160</t>
  </si>
  <si>
    <t>в т.ч. за рахунок коштів міського бюджету</t>
  </si>
  <si>
    <t>06 1 0160</t>
  </si>
  <si>
    <t>6013</t>
  </si>
  <si>
    <t>Забезпечення діяльності водопровідно-каналізаційного господарства</t>
  </si>
  <si>
    <t>6020</t>
  </si>
  <si>
    <t>02 1 6011</t>
  </si>
  <si>
    <t>6011</t>
  </si>
  <si>
    <t>0610</t>
  </si>
  <si>
    <t>Експлуатація та технічне обслуговування житлового фонду</t>
  </si>
  <si>
    <t>Забезпечення функціонування підприємств, установ та організацій, що виробляють, виконують та/або надають житлово-комунальні послуги</t>
  </si>
  <si>
    <t>6030</t>
  </si>
  <si>
    <t>Організація благоустрою населених пунктів</t>
  </si>
  <si>
    <t>6040</t>
  </si>
  <si>
    <t>Заходи, пов`язані з поліпшенням питної води</t>
  </si>
  <si>
    <t>6071</t>
  </si>
  <si>
    <t>Здійснення заходів із землеустрою</t>
  </si>
  <si>
    <t>7680</t>
  </si>
  <si>
    <t>Членські внески до асоціацій органів місцевого самоврядування</t>
  </si>
  <si>
    <t>02 1 6013</t>
  </si>
  <si>
    <t>02 1 6020</t>
  </si>
  <si>
    <t>02 1 6030</t>
  </si>
  <si>
    <t xml:space="preserve">Звенигородський районний бюджет </t>
  </si>
  <si>
    <t>02 1 6040</t>
  </si>
  <si>
    <t>02 1 6071</t>
  </si>
  <si>
    <t>02 1 7130</t>
  </si>
  <si>
    <t>0620</t>
  </si>
  <si>
    <t>0640</t>
  </si>
  <si>
    <t>0421</t>
  </si>
  <si>
    <t>02 1 7680</t>
  </si>
  <si>
    <t>02 1 7691</t>
  </si>
  <si>
    <t>02 1 7693</t>
  </si>
  <si>
    <t>02 1 8311</t>
  </si>
  <si>
    <t>Здійснення заходів та реалізація проектів на виконання Державної цільової соціальної програми «Молодь України»</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</si>
  <si>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</si>
  <si>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Заходи із запобігання та ліквідації надзвичайних ситуацій та наслідків стихійного лиха</t>
  </si>
  <si>
    <t>Заходи з організації рятування на водах</t>
  </si>
  <si>
    <t>2010</t>
  </si>
  <si>
    <t>Заходи державної політики з питань дітей та їх соціального захисту</t>
  </si>
  <si>
    <t>3112</t>
  </si>
  <si>
    <t>3131</t>
  </si>
  <si>
    <t>3140</t>
  </si>
  <si>
    <t>Пільгове медичне обслуговування осіб, які постраждали внаслідок Чорнобильської катастрофи</t>
  </si>
  <si>
    <t>3050</t>
  </si>
  <si>
    <t>Код Функціональної класифікації видатків та кредитування бюджету</t>
  </si>
  <si>
    <t>7691</t>
  </si>
  <si>
    <t>7693</t>
  </si>
  <si>
    <t>2111</t>
  </si>
  <si>
    <t>2144</t>
  </si>
  <si>
    <t>2146</t>
  </si>
  <si>
    <t>2152</t>
  </si>
  <si>
    <t>3121</t>
  </si>
  <si>
    <t>8110</t>
  </si>
  <si>
    <t>8120</t>
  </si>
  <si>
    <t>3171</t>
  </si>
  <si>
    <t>3192</t>
  </si>
  <si>
    <t>3242</t>
  </si>
  <si>
    <t>4030</t>
  </si>
  <si>
    <t>4040</t>
  </si>
  <si>
    <t>4081</t>
  </si>
  <si>
    <t>4082</t>
  </si>
  <si>
    <t>37 1 0160</t>
  </si>
  <si>
    <t>1. Показники міжбюджетних трансфертів з  інших бюджетів</t>
  </si>
  <si>
    <t>(грн)</t>
  </si>
  <si>
    <t>Код Класифікації доходу бюджету / 
Код бюджету</t>
  </si>
  <si>
    <t>Державний бюджет України</t>
  </si>
  <si>
    <t>Бюджет Кам’янської міської територіальної громади</t>
  </si>
  <si>
    <t>23100000000</t>
  </si>
  <si>
    <t xml:space="preserve">Обласний бюджет Черкаської області
</t>
  </si>
  <si>
    <t>ІІ. Трансферти до спеціального фонду бюджету</t>
  </si>
  <si>
    <t>УСЬОГО за розділами І,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</si>
  <si>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</si>
  <si>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</si>
  <si>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</si>
  <si>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</si>
  <si>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</si>
  <si>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Додаток №4</t>
  </si>
  <si>
    <t>І. Трансферти із загального фонду бюджету</t>
  </si>
  <si>
    <t>ІІ. Трансферти із спеціального фонду бюджету</t>
  </si>
  <si>
    <t>УСЬОГО  за розділами І, ІІ, у тому числі:</t>
  </si>
  <si>
    <r>
      <t xml:space="preserve">Найменування трансферту / Найменування </t>
    </r>
    <r>
      <rPr>
        <b/>
        <u/>
        <sz val="11"/>
        <rFont val="Times New Roman"/>
        <family val="1"/>
        <charset val="204"/>
      </rPr>
      <t>бюджету - надавача</t>
    </r>
    <r>
      <rPr>
        <b/>
        <sz val="11"/>
        <rFont val="Times New Roman"/>
        <family val="1"/>
        <charset val="204"/>
      </rPr>
      <t xml:space="preserve"> міжбюджетного трансферту</t>
    </r>
  </si>
  <si>
    <r>
      <t xml:space="preserve">І. Трансферти </t>
    </r>
    <r>
      <rPr>
        <b/>
        <sz val="12"/>
        <rFont val="Times New Roman"/>
        <family val="1"/>
        <charset val="204"/>
      </rPr>
      <t>до</t>
    </r>
    <r>
      <rPr>
        <b/>
        <sz val="11"/>
        <rFont val="Times New Roman"/>
        <family val="1"/>
        <charset val="204"/>
      </rPr>
      <t xml:space="preserve"> загального фонду бюджету</t>
    </r>
  </si>
  <si>
    <r>
      <t xml:space="preserve">Найменування трансферту / Найменування </t>
    </r>
    <r>
      <rPr>
        <b/>
        <u/>
        <sz val="11"/>
        <rFont val="Times New Roman"/>
        <family val="1"/>
        <charset val="204"/>
      </rPr>
      <t>бюджету -отримувача</t>
    </r>
    <r>
      <rPr>
        <b/>
        <sz val="11"/>
        <rFont val="Times New Roman"/>
        <family val="1"/>
        <charset val="204"/>
      </rPr>
      <t xml:space="preserve"> міжбюджетного трансферту</t>
    </r>
  </si>
  <si>
    <t>8311</t>
  </si>
  <si>
    <t>0511</t>
  </si>
  <si>
    <t>Охорона та раціональне використання природних ресурсів</t>
  </si>
  <si>
    <t>0160</t>
  </si>
  <si>
    <t>7461</t>
  </si>
  <si>
    <t>Дата та номер документа, яким затверджено місцеву регіональну програму</t>
  </si>
  <si>
    <t>Усього</t>
  </si>
  <si>
    <t>у тому числі бюджет розвитку</t>
  </si>
  <si>
    <t>3090</t>
  </si>
  <si>
    <t>3105</t>
  </si>
  <si>
    <t>3104</t>
  </si>
  <si>
    <t>5031</t>
  </si>
  <si>
    <t>Утримання та навчально-тренувальна робота комунальних дитячо-юнацьких спортивних шкіл</t>
  </si>
  <si>
    <t>5061</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</si>
  <si>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</si>
  <si>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2</t>
  </si>
  <si>
    <t xml:space="preserve"> оплата праці           </t>
  </si>
  <si>
    <t>в т.ч. за рахунок субвенцій з інших місцевих бюджетів</t>
  </si>
  <si>
    <t>(код бюджету)</t>
  </si>
  <si>
    <t>0490</t>
  </si>
  <si>
    <t>Багатопрофільна стаціонарна медична допомога населенню</t>
  </si>
  <si>
    <t>Надання дошкільної освіти</t>
  </si>
  <si>
    <t>37 1 9750</t>
  </si>
  <si>
    <t>Субвенція з місцевого бюджету на співфінансування інвестиційних проектів</t>
  </si>
  <si>
    <t>Забезпечення діяльності інших закладів у сфері освіти</t>
  </si>
  <si>
    <t>Видатки на поховання учасників бойових дій та осіб з інвалідністю внаслідок війни</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</si>
  <si>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</si>
  <si>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 xml:space="preserve">Надання реабілітаційних послуг особам з інвалідністю та дітям з інвалідністю </t>
  </si>
  <si>
    <t>в т.ч.за рахунок субвенції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</si>
  <si>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</si>
  <si>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Інші заходи у сфері соціального захисту і соціального забезпечення</t>
  </si>
  <si>
    <t>Забезпечення діяльності бібліотек</t>
  </si>
  <si>
    <t>Забезпечення діяльності музеїв i виставок</t>
  </si>
  <si>
    <t>Забезпечення діяльності палаців i будинків культури, клубів, центрів дозвілля та iнших клубних закладів</t>
  </si>
  <si>
    <t xml:space="preserve">Забезпечення діяльності інших закладів в галузі культури і мистецтва </t>
  </si>
  <si>
    <t>Інші заходи в галузі культури і мистецтва</t>
  </si>
  <si>
    <t xml:space="preserve">Інші субвенції з місцевого бюджету </t>
  </si>
  <si>
    <t xml:space="preserve">комунальні послуги та енергоносії </t>
  </si>
  <si>
    <t>Додаток №1</t>
  </si>
  <si>
    <t>Код</t>
  </si>
  <si>
    <t>Загальний фонд</t>
  </si>
  <si>
    <t>Спеціальний фонд</t>
  </si>
  <si>
    <t>Разом</t>
  </si>
  <si>
    <t>Всього</t>
  </si>
  <si>
    <t xml:space="preserve">з них: </t>
  </si>
  <si>
    <t xml:space="preserve">в т.ч.за рахунок переданих видатків у сфері охорони здоров’я за рахунок коштів медичної субвенції </t>
  </si>
  <si>
    <t>Інші програми та заходи у сфері освіти</t>
  </si>
  <si>
    <t>Плата за надання адміністративних послуг</t>
  </si>
  <si>
    <t>в т.ч.за рахунок субвенції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</si>
  <si>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Х</t>
  </si>
  <si>
    <t>1</t>
  </si>
  <si>
    <t>3</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</si>
  <si>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</si>
  <si>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</si>
  <si>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фізичними особами за результатами річного декларування</t>
  </si>
  <si>
    <t xml:space="preserve">Загальний фонд </t>
  </si>
  <si>
    <t>02 1 3160</t>
  </si>
  <si>
    <t>Акцизний податок з реалізації суб’єктами господарювання роздрібної торгівлі підакцизних товарів (крім тих, що оподатковуються згідно з підпунктом 213.1.14 пункту 213.1 статті 213 Податкового кодексу України)</t>
  </si>
  <si>
    <t>02 1 3032</t>
  </si>
  <si>
    <t>3032</t>
  </si>
  <si>
    <t>Надання пільг окремим категоріям громадян з оплати послуг зв'язку</t>
  </si>
  <si>
    <t>08 1 3160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</si>
  <si>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</si>
  <si>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</si>
  <si>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рішення міської ради від 07.05.2021 № 8-14</t>
  </si>
  <si>
    <t>в т.ч.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</si>
  <si>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Програма розвитку первинної медико-санітарної допомоги та підтримки комунального некомерційного підприємства «Звенигородський  центр первинної медико-санітарної допомоги» Звенигородської міської ради  на 2022 -2024 роки</t>
  </si>
  <si>
    <t>Програма «ТУРБОТА» на 2022 – 2025 роки Звенигородської міської територіальної громади</t>
  </si>
  <si>
    <t>рішення міської ради від 24.12.2021 № 17-24</t>
  </si>
  <si>
    <t xml:space="preserve">Програма розвитку житлово-комунального господарства Звенигородської територіальної громади на 2021-2025 роки </t>
  </si>
  <si>
    <t>рішення міської ради від 10.09.2021 № 14-6</t>
  </si>
  <si>
    <t>Додаток №3</t>
  </si>
  <si>
    <t>Надання спеціалізованої освіти мистецькими школами</t>
  </si>
  <si>
    <t>Програма ремонту та утримання автомобільних доріг загального користування державного та місцевого значення, вуличної мережі доріг та тротуарів на території Звенигородської міської ради на 2022-2023 роки</t>
  </si>
  <si>
    <t>в т.ч.за рахунок залишку дотації з місцевого бюджету на проведення розрахунків протягом опалювального періоду за комунальні послуги та енергоносії,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</si>
  <si>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9750</t>
  </si>
  <si>
    <t xml:space="preserve"> Програма  розвитку територіальної оборони Звенигородської міської територіальної громади  для військової частини  А7325 Сил територіальної оборони Збройних Сил України на 2022–2025 роки.</t>
  </si>
  <si>
    <t>рішення міської ради від 28.01.2022 № 18-7</t>
  </si>
  <si>
    <t>Проведення експертної грошової оцінки земельної ділянки чи права на неї</t>
  </si>
  <si>
    <t>02 1 7650</t>
  </si>
  <si>
    <t>7650</t>
  </si>
  <si>
    <t>02 1 8240</t>
  </si>
  <si>
    <t>Заходи та роботи з територіальної оборони</t>
  </si>
  <si>
    <t>8240</t>
  </si>
  <si>
    <t>0380</t>
  </si>
  <si>
    <t>02 1 9810</t>
  </si>
  <si>
    <t>9810</t>
  </si>
  <si>
    <t>Надання фінансової підтримки громадським організаціям ветеранів і осіб з інвалідністю, діяльність яких має соціальну спрямованість</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</si>
  <si>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</si>
  <si>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Централізовані заходи з лікування хворих на цукровий та нецукровий діабет</t>
  </si>
  <si>
    <t>02 1 2144</t>
  </si>
  <si>
    <t>бюджет розвитку</t>
  </si>
  <si>
    <t>Інші заходи, пов'язані з економічною діяльністю</t>
  </si>
  <si>
    <t>в т.ч.за рахунок іншої дотації з місцевого бюджету</t>
  </si>
  <si>
    <t>рішення міської ради від 20.12.2022 № 20-82</t>
  </si>
  <si>
    <t>рішення міської ради від 20.12.2022 № 20-96</t>
  </si>
  <si>
    <t>рішення міської ради від 20.12.2022 № 20-95</t>
  </si>
  <si>
    <t>рішення міської ради від 20.12.2022 № 20-94</t>
  </si>
  <si>
    <t>рішення міської ради від 20.12.2022 № 20-98</t>
  </si>
  <si>
    <t>рішення міської ради від 20.12.2022 № 20-97</t>
  </si>
  <si>
    <t>рішення міської ради від 20.12.2022 № 20-91</t>
  </si>
  <si>
    <t>рішення міської ради від 20.12.2022 № 20-86</t>
  </si>
  <si>
    <t>рішення міської ради від 20.12.2022 № 20-92</t>
  </si>
  <si>
    <t>рішення міської ради від 20.12.2022 № 20-77</t>
  </si>
  <si>
    <t>рішення міської ради від 20.12.2022 № 20-79</t>
  </si>
  <si>
    <t xml:space="preserve">Програма зайнятості населення на території Звенигородської міської територіальної громади на 2023-2025 роки </t>
  </si>
  <si>
    <t>рішення міської ради від 22.12.2022 № 20-103</t>
  </si>
  <si>
    <t xml:space="preserve">рішення міської ради від 22.12.2022 № 20-103 </t>
  </si>
  <si>
    <t xml:space="preserve">рішення міської радивід 22.12.2022 № 20-103 </t>
  </si>
  <si>
    <t>Додаток №5</t>
  </si>
  <si>
    <t>Додаток 2</t>
  </si>
  <si>
    <t>Фінансування</t>
  </si>
  <si>
    <t>Назва</t>
  </si>
  <si>
    <t>у т.ч. бюджет розвитку</t>
  </si>
  <si>
    <t>Фінансування за типом кредитора</t>
  </si>
  <si>
    <t>Внутрішнє фінансування</t>
  </si>
  <si>
    <t>Зміни обсягів депозитів і цінних паперів, що використовуються для управління ліквідністю</t>
  </si>
  <si>
    <t>206110</t>
  </si>
  <si>
    <t>Повернення бюджетних коштів з депозитів</t>
  </si>
  <si>
    <t>206210</t>
  </si>
  <si>
    <t>Розміщення бюджетних коштів на депозитах</t>
  </si>
  <si>
    <t>Фінансування за рахунок зміни залишків коштів місцевих бюджетів</t>
  </si>
  <si>
    <t>На початок періоду</t>
  </si>
  <si>
    <t>На кінець періоду</t>
  </si>
  <si>
    <t xml:space="preserve">Кошти, що передаються із загального фонду бюджету до бюджету розвитку (спеціального фонду)                                                                                                                                                                                                                                                                                                                                                                                                                                                                                                                                                                                                                                                                                                                                                                                                                                                                                                                                                                                                                                                                                       </t>
  </si>
  <si>
    <t>Загальне фінансування</t>
  </si>
  <si>
    <t>Фінансування за типом боргового зобов’язання</t>
  </si>
  <si>
    <t>Фінансування за активними операціями</t>
  </si>
  <si>
    <t>Зміни обсягів готівкових коштів</t>
  </si>
  <si>
    <t xml:space="preserve">Кошти, що передаються із загального фонду бюджету до бюджету розвитку (спеціального фонду)        </t>
  </si>
  <si>
    <t xml:space="preserve">Секретар міської ради                                                           Володимир Низенко                                                                                                                                                  </t>
  </si>
  <si>
    <t>бюджету Звенигородської міської  територіальної громади на 2023 рік</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</si>
  <si>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</si>
  <si>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інвестиційного проекту</t>
  </si>
  <si>
    <t>Загальний період реалізації проекту, (рік початку і завершення)</t>
  </si>
  <si>
    <t>Загальна вартість об'єкту, гривень</t>
  </si>
  <si>
    <t>Обсяг капітальних вкладень місцевого бюджету всього, гривень</t>
  </si>
  <si>
    <t>реконструкції системи централізованого газопостачання кисню в КНП «Звенигородська БЛІЛ» вул.Героїв Небесної сотні, 79 м.Звенигородка, Черкаська обл</t>
  </si>
  <si>
    <t>реконструкція системи медичного газопостачання кисню корпусу пологового відділення в КНП «Звенигородська БЛІЛ» вул.Героїв Небесної сотні, 79 м.Звенигородка, Черкаська обл.</t>
  </si>
  <si>
    <t xml:space="preserve">06 1 1021 </t>
  </si>
  <si>
    <t xml:space="preserve"> Надання загальної середньої освіти закладами загальної середньої освіти</t>
  </si>
  <si>
    <t>10 0 0000</t>
  </si>
  <si>
    <t>Фінансове управління Звенигородської районної державної адміністрації  (в частині міжбюджетних трансфертів, резервного фонду)</t>
  </si>
  <si>
    <t>76</t>
  </si>
  <si>
    <t>Фінансове управління райдержадміністрації (в частині міжбюджетних трансфертів, резервного фонду)</t>
  </si>
  <si>
    <t>8800</t>
  </si>
  <si>
    <t xml:space="preserve">Секретар міської ради      </t>
  </si>
  <si>
    <t xml:space="preserve"> Володимир Низенко   </t>
  </si>
  <si>
    <t>Обсяги капітальних вкладень бюджету у розрізі інвестиційних проектів у 2023 році</t>
  </si>
  <si>
    <t>Обсяг капітальних вкладень місцевого бюджету у 2023 році, гривень</t>
  </si>
  <si>
    <t>Очікуваний рівень готовності проекту на кінець 2023 року, %</t>
  </si>
  <si>
    <t>Додаток №6</t>
  </si>
  <si>
    <t>Програми розвитку вторинної медичної допомоги населенню Звенигородської територіальної громади та фінансової підтримки комунальному некомерційному підприємству «Звенигородська багатопрофільна лікарня інтенсивного лікування» Звенигородської міської ради на 2021-2023 роки</t>
  </si>
  <si>
    <t>рішення міської ради від 26.11.2021 № 16-5</t>
  </si>
  <si>
    <t>Програма  енергозбереження та підвищення енергоефективності Звенигородської міської територіальної громади на 2023-2025 роки</t>
  </si>
  <si>
    <t>рішення міської ради від 20.12.2022 № 20-99</t>
  </si>
  <si>
    <t>додаток 1</t>
  </si>
  <si>
    <t>додаток 3</t>
  </si>
  <si>
    <t>дефіцит</t>
  </si>
  <si>
    <t>баланс</t>
  </si>
  <si>
    <t>загальний</t>
  </si>
  <si>
    <t>спеціальний</t>
  </si>
  <si>
    <t>БР</t>
  </si>
  <si>
    <t>02 1 8775</t>
  </si>
  <si>
    <t>Інші заходи за рахунок коштів резервного фонду місцевого бюджету</t>
  </si>
  <si>
    <t>8775</t>
  </si>
  <si>
    <t>комплексна Програма функціонування та розвитку системи цивільного захисту, забезпечення пожежної та техногенної безпеки Звенигородської міської територіальної громади на 2021–2025 роки</t>
  </si>
  <si>
    <t>рішення міської ради від 10.09.2021 № 14-11</t>
  </si>
  <si>
    <t xml:space="preserve">Програма розроблення містобудівних та землевпорядних робіт  на території Звенигородської міської територіальної громади на 2021-2025 роки </t>
  </si>
  <si>
    <t>рішення міської ради від 18.06.2021 № 10-1</t>
  </si>
  <si>
    <t>в т.ч.за рахунок додаткової дотації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</si>
  <si>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</si>
  <si>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Програма "Підвищення ефективності забезпечення громадського порядку та безпеки в судах, органах та установах системи правосуддя Звенигородської міської ради на 2021-2025 роки"</t>
  </si>
  <si>
    <t>рішення міської ради від 07.05.2021 № 8-13</t>
  </si>
  <si>
    <t>Бюджет Шполянської міської територіальної громади</t>
  </si>
  <si>
    <t>Програма підвищення ефективності забезпечення доступу до правосуддя в Звенигородській міській територіальній громаді Звенигородського району Черкаської області на  2022-2025 роки</t>
  </si>
  <si>
    <t>Будівництво ліній вуличного освітлення с.Гусакове по вул. Садовій та вул. Європейській</t>
  </si>
  <si>
    <t>Бюджет Мокрокалигірської сільської територіальної громади</t>
  </si>
  <si>
    <t>Будівництво  медичних установ та закладів</t>
  </si>
  <si>
    <t>02 1 7322</t>
  </si>
  <si>
    <t>7322</t>
  </si>
  <si>
    <t>0433</t>
  </si>
  <si>
    <t>02 1 7310</t>
  </si>
  <si>
    <t>Будівництво  об'єктів житлово-комунального господарства</t>
  </si>
  <si>
    <t>"Про бюджет  Звенигородської міської</t>
  </si>
  <si>
    <t>територіальної громади  на 2023 рік (2356400000)"</t>
  </si>
  <si>
    <t xml:space="preserve">     територіальної громади  на 2023 рік (2356400000)"</t>
  </si>
  <si>
    <t xml:space="preserve">    "Про бюджет  Звенигородської міської</t>
  </si>
  <si>
    <t xml:space="preserve">    рішення міської ради від 22.12.2022 № 20-103</t>
  </si>
  <si>
    <t xml:space="preserve">  "Про бюджет  Звенигородської міської</t>
  </si>
  <si>
    <t xml:space="preserve">  територіальної громади  на 2023 рік (2356400000)"</t>
  </si>
  <si>
    <t>Бюджет Бужанської сільської територіальної громади</t>
  </si>
  <si>
    <t>рішення міської ради від 24.03.2023 № 21-46</t>
  </si>
  <si>
    <t>Програма надання шефської допомоги, фінансування заходів, спрямованих на підвищення рівня бойової готовності військових частин Збройних Сил України, Національної гвардії України, Державної прикордонної служби України, територіальних центрів комплектування та соціальної підтримки та інших заходів територіальної оборони  на 2023 рік</t>
  </si>
  <si>
    <t>рішення міської ради від 24.03.2023 № 21-51</t>
  </si>
  <si>
    <t>Програма ефективного управління майном, що належить до комунальної власності Звенигородської міської територіальної громади на 2023-2025 роки</t>
  </si>
  <si>
    <t>06 1 7321</t>
  </si>
  <si>
    <t>7321</t>
  </si>
  <si>
    <t>Будівництво  освітніх установ та закладів</t>
  </si>
  <si>
    <t xml:space="preserve"> "Про бюджет  Звенигородської міської</t>
  </si>
  <si>
    <t xml:space="preserve"> територіальної громади  на 2023 рік (2356400000)"</t>
  </si>
  <si>
    <t xml:space="preserve">                                                          "Про бюджет  Звенигородської міської</t>
  </si>
  <si>
    <t xml:space="preserve">                                                               територіальної громади на 2023 рік (2356400000)"</t>
  </si>
  <si>
    <t>02 1 7640</t>
  </si>
  <si>
    <t>Заходи з енергозбереження</t>
  </si>
  <si>
    <t>7640</t>
  </si>
  <si>
    <t>10 1 5049</t>
  </si>
  <si>
    <t>5049</t>
  </si>
  <si>
    <t>Виконання окремих заходів з реалізації соціального проекту "Активні парки - локації здорової України</t>
  </si>
  <si>
    <t>Субвенція з місцевого бюджету на виконання окремих заходів з реалізації соціального проекту "Активні парки - локації здорової України"</t>
  </si>
  <si>
    <t>0470</t>
  </si>
  <si>
    <t>Розподіл витрат  бюджету Звенигородської міської територіальної громади на реалізацію регіональних програм у 2023 році</t>
  </si>
  <si>
    <t>06 1 1251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</si>
  <si>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</si>
  <si>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</si>
  <si>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06 1 1252</t>
  </si>
  <si>
    <t>1252</t>
  </si>
  <si>
    <t>Виконання заходів щодо придбання шкільних автобусів за рахунок  субвенції з державного бюджету місцевим бюджетам</t>
  </si>
  <si>
    <t>Субвенція з місцевого бюджету на придбання шкільних автобусів за рахунок відповідної субвенції з державного бюджету</t>
  </si>
  <si>
    <t xml:space="preserve">10 1 0000 </t>
  </si>
  <si>
    <t>02 1 8312</t>
  </si>
  <si>
    <t>8312</t>
  </si>
  <si>
    <t>Утилізація відходів</t>
  </si>
  <si>
    <t>0512</t>
  </si>
  <si>
    <t>Програма про сплату членських внесків до Всеукраїнської асоціації органів місцевого самоврядування «Асоціація міст України» на 2023-2025 роки</t>
  </si>
  <si>
    <t>Програма підтримки регіонів, найбільш постраждалих внаслідок агресії російської федерації на 2023 рік</t>
  </si>
  <si>
    <t>Комплексна програма соціального захисту та підтримки Захисників державного суверенітету та Незалежності України  і членів їх сімей на 2023-2025 роки у Звенигородській міській територіальній громаді</t>
  </si>
  <si>
    <t>Програма профілактики злочинності на 2021-2025 роки</t>
  </si>
  <si>
    <t>Програма покращення надання адміністративних послуг в територіальному сервісному центрі №7143 Регіонального сервісного центру ГСЦ МВС в Черкаській області (філія ГСЦ МВС)  в 2023-2025 роках</t>
  </si>
  <si>
    <t>Програма протидії тероризму на території Звенигородської міської ради на 2021-2025 роки</t>
  </si>
  <si>
    <t>рішення міської ради від 24.03.2023 № 21-49</t>
  </si>
  <si>
    <t>рішення міської ради від 30.06.2023 № 22-136</t>
  </si>
  <si>
    <t>рішення міської ради від 30.06.2023 № 22-139</t>
  </si>
  <si>
    <t>рішення міської ради від 30.06.2023 № 22-134</t>
  </si>
  <si>
    <t>Програма фінансової підтримки працівників управління соціального захисту населення Звенигородської районної державної адміністрації Черкаської області на 2023 рік Звенигородською міською територіальною громадою</t>
  </si>
  <si>
    <t>рішення міської ради від 30.06.2023 № 22-138</t>
  </si>
  <si>
    <t>Програма надання шефської допомоги, фінансування заходів, спрямованих на підвищення рівня бойової готовності військових частин Збройних Сил України, Національної гвардії України, Державної прикордонної служби України, територіальних центрів комплектування та соціальної підтримки та інших заходів територіальної оборони  на 2023 рік.</t>
  </si>
  <si>
    <t>Програма підтримки органів виконавчої влади Звенигородського району на 2022-2025 роки</t>
  </si>
  <si>
    <t>рішення міської ради від 20.12.2022 № 20-78</t>
  </si>
  <si>
    <t>БЕЗ ТРАНСФЕРТІВ</t>
  </si>
  <si>
    <t>БЕЗ ТРАНСФЕРТІВ ((ЗБІЛЬШ ЗА РЕЗ. 7 МІС)</t>
  </si>
  <si>
    <t>Бюджет Єрківської селищної територіальної громади</t>
  </si>
  <si>
    <t>рішення міської ради від  28.07.2023  № 23-5</t>
  </si>
  <si>
    <t>Програма фінансової підтримки Звенигородського районного територіального центру комплектування та соціальної підтримки на 2023-2024 роки</t>
  </si>
  <si>
    <t>(в редакції рішення  від   № )</t>
  </si>
  <si>
    <t xml:space="preserve">    (в редакції рішення  від   №)</t>
  </si>
  <si>
    <t xml:space="preserve"> (в редакції рішення від   №)</t>
  </si>
  <si>
    <t xml:space="preserve">                                                                 (в редакції рішення від   №)</t>
  </si>
  <si>
    <t>(в редакції рішення від   №)</t>
  </si>
  <si>
    <t xml:space="preserve"> (в редакції рішення  від   №)</t>
  </si>
  <si>
    <t>БЕЗ ТРАНСФЕРТІВ (ЗБІЛЬШ ЗА РЕЗ. 8 МІС)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</si>
</sst>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_-* #,##0_р_._-;\-* #,##0_р_._-;_-* &quot;-&quot;_р_._-;_-@_-"/>
    <numFmt numFmtId="165" formatCode="_-* #,##0.00_р_._-;\-* #,##0.00_р_._-;_-* &quot;-&quot;??_р_._-;_-@_-"/>
    <numFmt numFmtId="166" formatCode="_-* #,##0\ _г_р_н_._-;\-* #,##0\ _г_р_н_._-;_-* &quot;-&quot;\ _г_р_н_._-;_-@_-"/>
    <numFmt numFmtId="167" formatCode="_-* #,##0.00\ _г_р_н_._-;\-* #,##0.00\ _г_р_н_._-;_-* &quot;-&quot;??\ _г_р_н_._-;_-@_-"/>
    <numFmt numFmtId="168" formatCode="0.000"/>
    <numFmt numFmtId="169" formatCode="0.00_ ;[Red]\-0.00\ "/>
    <numFmt numFmtId="170" formatCode="0.000_ ;[Red]\-0.000\ "/>
    <numFmt numFmtId="171" formatCode="_-* #,##0.00_г_р_н_._-;\-* #,##0.00_г_р_н_._-;_-* &quot;-&quot;??_г_р_н_._-;_-@_-"/>
    <numFmt numFmtId="172" formatCode="#0.00"/>
    <numFmt numFmtId="173" formatCode="#,##0\ &quot;z?&quot;;[Red]\-#,##0\ &quot;z?&quot;"/>
    <numFmt numFmtId="174" formatCode="#,##0.00\ &quot;z?&quot;;[Red]\-#,##0.00\ &quot;z?&quot;"/>
    <numFmt numFmtId="175" formatCode="_-* #,##0\ _р_._-;\-* #,##0\ _р_._-;_-* &quot;-&quot;\ _р_._-;_-@_-"/>
    <numFmt numFmtId="176" formatCode="_-* #,##0.00\ _р_._-;\-* #,##0.00\ _р_._-;_-* &quot;-&quot;??\ _р_._-;_-@_-"/>
    <numFmt numFmtId="177" formatCode="_-* #,##0\ &quot;р.&quot;_-;\-* #,##0\ &quot;р.&quot;_-;_-* &quot;-&quot;\ &quot;р.&quot;_-;_-@_-"/>
    <numFmt numFmtId="178" formatCode="_-* #,##0.00\ &quot;р.&quot;_-;\-* #,##0.00\ &quot;р.&quot;_-;_-* &quot;-&quot;??\ &quot;р.&quot;_-;_-@_-"/>
    <numFmt numFmtId="179" formatCode="_-* #,##0\ _z_?_-;\-* #,##0\ _z_?_-;_-* &quot;-&quot;\ _z_?_-;_-@_-"/>
    <numFmt numFmtId="180" formatCode="_-* #,##0.00\ _z_?_-;\-* #,##0.00\ _z_?_-;_-* &quot;-&quot;??\ _z_?_-;_-@_-"/>
    <numFmt numFmtId="181" formatCode="#,##0.\-"/>
    <numFmt numFmtId="182" formatCode="_(&quot;$&quot;* #,##0_);_(&quot;$&quot;* \(#,##0\);_(&quot;$&quot;* &quot;-&quot;_);_(@_)"/>
    <numFmt numFmtId="183" formatCode="_(&quot;$&quot;* #,##0.00_);_(&quot;$&quot;* \(#,##0.00\);_(&quot;$&quot;* &quot;-&quot;??_);_(@_)"/>
    <numFmt numFmtId="184" formatCode="_-* #,##0.00\ _г_р_н_._-;\-* #,##0.00\ _г_р_н_._-;_-* \-??\ _г_р_н_._-;_-@_-"/>
    <numFmt numFmtId="185" formatCode="0.0000"/>
    <numFmt numFmtId="186" formatCode="#,##0.00_ ;[Red]\-#,##0.00\ "/>
    <numFmt numFmtId="187" formatCode="0.0"/>
  </numFmts>
  <fonts count="117">
    <font>
      <sz val="10"/>
      <name val="Arial Cyr"/>
      <charset val="204"/>
    </font>
    <font>
      <sz val="10"/>
      <name val="Arial Cyr"/>
      <charset val="204"/>
    </font>
    <font>
      <sz val="10"/>
      <name val="Times New Roman"/>
      <family val="1"/>
      <charset val="204"/>
    </font>
    <font>
      <b/>
      <sz val="13.5"/>
      <name val="Bookman Old Style"/>
      <family val="1"/>
      <charset val="204"/>
    </font>
    <font>
      <b/>
      <sz val="12"/>
      <name val="Bookman Old Style"/>
      <family val="1"/>
      <charset val="204"/>
    </font>
    <font>
      <sz val="10"/>
      <name val="Bookman Old Style"/>
      <family val="1"/>
      <charset val="204"/>
    </font>
    <font>
      <sz val="11"/>
      <name val="Bookman Old Style"/>
      <family val="1"/>
      <charset val="204"/>
    </font>
    <font>
      <b/>
      <sz val="10"/>
      <name val="Bookman Old Style"/>
      <family val="1"/>
      <charset val="204"/>
    </font>
    <font>
      <i/>
      <sz val="8"/>
      <name val="Bookman Old Style"/>
      <family val="1"/>
      <charset val="204"/>
    </font>
    <font>
      <sz val="9"/>
      <name val="Bookman Old Style"/>
      <family val="1"/>
      <charset val="204"/>
    </font>
    <font>
      <u/>
      <sz val="10"/>
      <color indexed="12"/>
      <name val="Arial Cyr"/>
      <charset val="204"/>
    </font>
    <font>
      <u/>
      <sz val="10"/>
      <color indexed="20"/>
      <name val="Arial Cyr"/>
      <charset val="204"/>
    </font>
    <font>
      <i/>
      <sz val="10"/>
      <name val="Bookman Old Style"/>
      <family val="1"/>
      <charset val="204"/>
    </font>
    <font>
      <b/>
      <i/>
      <sz val="11"/>
      <name val="Bookman Old Style"/>
      <family val="1"/>
      <charset val="204"/>
    </font>
    <font>
      <sz val="10"/>
      <name val="MS Sans Serif"/>
      <family val="2"/>
      <charset val="204"/>
    </font>
    <font>
      <b/>
      <i/>
      <sz val="12"/>
      <name val="Bookman Old Style"/>
      <family val="1"/>
      <charset val="204"/>
    </font>
    <font>
      <b/>
      <sz val="10"/>
      <name val="Arial Cyr"/>
      <charset val="204"/>
    </font>
    <font>
      <sz val="11"/>
      <name val="Times New Roman"/>
      <family val="1"/>
      <charset val="204"/>
    </font>
    <font>
      <b/>
      <sz val="9"/>
      <name val="Bookman Old Style"/>
      <family val="1"/>
      <charset val="204"/>
    </font>
    <font>
      <b/>
      <sz val="10"/>
      <color indexed="10"/>
      <name val="Bookman Old Style"/>
      <family val="1"/>
      <charset val="204"/>
    </font>
    <font>
      <b/>
      <sz val="10"/>
      <name val="Bookman Old Style"/>
      <family val="1"/>
      <charset val="204"/>
    </font>
    <font>
      <sz val="9.5"/>
      <name val="Bookman Old Style"/>
      <family val="1"/>
      <charset val="204"/>
    </font>
    <font>
      <i/>
      <sz val="10"/>
      <name val="Arial Cyr"/>
      <charset val="204"/>
    </font>
    <font>
      <i/>
      <sz val="9"/>
      <name val="Bookman Old Style"/>
      <family val="1"/>
      <charset val="204"/>
    </font>
    <font>
      <sz val="12"/>
      <name val="Times New Roman"/>
      <family val="1"/>
    </font>
    <font>
      <b/>
      <sz val="12"/>
      <name val="Times New Roman"/>
      <family val="1"/>
    </font>
    <font>
      <sz val="12"/>
      <name val="Times New Roman"/>
      <family val="1"/>
      <charset val="204"/>
    </font>
    <font>
      <b/>
      <sz val="12"/>
      <name val="Times New Roman"/>
      <family val="1"/>
      <charset val="204"/>
    </font>
    <font>
      <b/>
      <sz val="12"/>
      <name val="Arial Cyr"/>
      <charset val="204"/>
    </font>
    <font>
      <b/>
      <sz val="11"/>
      <name val="Arial Cyr"/>
      <charset val="204"/>
    </font>
    <font>
      <b/>
      <sz val="12"/>
      <name val="Arial"/>
      <family val="2"/>
      <charset val="204"/>
    </font>
    <font>
      <b/>
      <sz val="13.5"/>
      <name val="Arial"/>
      <family val="2"/>
      <charset val="204"/>
    </font>
    <font>
      <sz val="10"/>
      <name val="Arial"/>
      <family val="2"/>
      <charset val="204"/>
    </font>
    <font>
      <sz val="9"/>
      <name val="Arial"/>
      <family val="2"/>
      <charset val="204"/>
    </font>
    <font>
      <b/>
      <i/>
      <sz val="10"/>
      <name val="Bookman Old Style"/>
      <family val="1"/>
      <charset val="204"/>
    </font>
    <font>
      <sz val="10"/>
      <color indexed="10"/>
      <name val="Bookman Old Style"/>
      <family val="1"/>
      <charset val="204"/>
    </font>
    <font>
      <b/>
      <i/>
      <sz val="9"/>
      <name val="Bookman Old Style"/>
      <family val="1"/>
      <charset val="204"/>
    </font>
    <font>
      <sz val="11"/>
      <color indexed="10"/>
      <name val="Times New Roman"/>
      <family val="1"/>
      <charset val="204"/>
    </font>
    <font>
      <b/>
      <sz val="11"/>
      <name val="Times New Roman"/>
      <family val="1"/>
      <charset val="204"/>
    </font>
    <font>
      <sz val="11"/>
      <color indexed="8"/>
      <name val="Times New Roman"/>
      <family val="1"/>
      <charset val="204"/>
    </font>
    <font>
      <sz val="8"/>
      <name val="Bookman Old Style"/>
      <family val="1"/>
      <charset val="204"/>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54"/>
      <name val="Calibri"/>
      <family val="2"/>
      <charset val="204"/>
    </font>
    <font>
      <b/>
      <sz val="13"/>
      <color indexed="54"/>
      <name val="Calibri"/>
      <family val="2"/>
      <charset val="204"/>
    </font>
    <font>
      <b/>
      <sz val="11"/>
      <color indexed="54"/>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b/>
      <sz val="11"/>
      <color indexed="63"/>
      <name val="Calibri"/>
      <family val="2"/>
      <charset val="204"/>
    </font>
    <font>
      <b/>
      <sz val="18"/>
      <color indexed="54"/>
      <name val="Calibri Light"/>
      <family val="2"/>
      <charset val="204"/>
    </font>
    <font>
      <b/>
      <sz val="11"/>
      <color indexed="8"/>
      <name val="Calibri"/>
      <family val="2"/>
      <charset val="204"/>
    </font>
    <font>
      <sz val="11"/>
      <color indexed="10"/>
      <name val="Calibri"/>
      <family val="2"/>
      <charset val="204"/>
    </font>
    <font>
      <b/>
      <sz val="14"/>
      <name val="Times New Roman"/>
      <family val="1"/>
      <charset val="204"/>
    </font>
    <font>
      <b/>
      <u/>
      <sz val="11"/>
      <name val="Times New Roman"/>
      <family val="1"/>
      <charset val="204"/>
    </font>
    <font>
      <i/>
      <sz val="10"/>
      <name val="Times New Roman"/>
      <family val="1"/>
      <charset val="204"/>
    </font>
    <font>
      <b/>
      <i/>
      <sz val="11"/>
      <name val="Times New Roman"/>
      <family val="1"/>
      <charset val="204"/>
    </font>
    <font>
      <sz val="10"/>
      <color indexed="8"/>
      <name val="Arial"/>
      <family val="2"/>
      <charset val="204"/>
    </font>
    <font>
      <sz val="9"/>
      <color indexed="8"/>
      <name val="Bookman Old Style"/>
      <family val="1"/>
      <charset val="204"/>
    </font>
    <font>
      <sz val="11"/>
      <color indexed="8"/>
      <name val="Arial"/>
      <family val="2"/>
      <charset val="204"/>
    </font>
    <font>
      <sz val="8"/>
      <color indexed="8"/>
      <name val="Arial"/>
      <family val="2"/>
      <charset val="204"/>
    </font>
    <font>
      <b/>
      <sz val="11"/>
      <color indexed="8"/>
      <name val="Times New Roman"/>
      <family val="1"/>
      <charset val="204"/>
    </font>
    <font>
      <sz val="9"/>
      <name val="Times New Roman"/>
      <family val="1"/>
      <charset val="204"/>
    </font>
    <font>
      <sz val="10"/>
      <name val="Courier New"/>
      <family val="3"/>
      <charset val="204"/>
    </font>
    <font>
      <sz val="11"/>
      <color indexed="8"/>
      <name val="Calibri"/>
      <family val="2"/>
    </font>
    <font>
      <sz val="10"/>
      <name val="Helv"/>
      <charset val="204"/>
    </font>
    <font>
      <sz val="9"/>
      <color indexed="8"/>
      <name val="Arial"/>
      <family val="2"/>
      <charset val="204"/>
    </font>
    <font>
      <b/>
      <sz val="13.5"/>
      <color indexed="8"/>
      <name val="Arial"/>
      <family val="2"/>
      <charset val="204"/>
    </font>
    <font>
      <u/>
      <sz val="9"/>
      <name val="Arial"/>
      <family val="2"/>
      <charset val="204"/>
    </font>
    <font>
      <sz val="10"/>
      <color indexed="8"/>
      <name val="Calibri"/>
      <family val="2"/>
      <charset val="204"/>
    </font>
    <font>
      <sz val="10"/>
      <color indexed="8"/>
      <name val="Times New Roman"/>
      <family val="1"/>
      <charset val="204"/>
    </font>
    <font>
      <b/>
      <sz val="13.5"/>
      <color indexed="8"/>
      <name val="Times New Roman"/>
      <family val="1"/>
      <charset val="204"/>
    </font>
    <font>
      <u/>
      <sz val="9"/>
      <name val="Times New Roman"/>
      <family val="1"/>
      <charset val="204"/>
    </font>
    <font>
      <i/>
      <sz val="8"/>
      <name val="Bookman Old Style"/>
      <family val="1"/>
      <charset val="204"/>
    </font>
    <font>
      <b/>
      <sz val="7"/>
      <color indexed="8"/>
      <name val="Times New Roman"/>
      <family val="1"/>
      <charset val="204"/>
    </font>
    <font>
      <sz val="7"/>
      <color indexed="8"/>
      <name val="Times New Roman"/>
      <family val="1"/>
      <charset val="204"/>
    </font>
    <font>
      <b/>
      <sz val="10"/>
      <color indexed="8"/>
      <name val="Arial Cyr"/>
      <charset val="204"/>
    </font>
    <font>
      <b/>
      <sz val="5"/>
      <color indexed="8"/>
      <name val="Times New Roman"/>
      <family val="1"/>
      <charset val="204"/>
    </font>
    <font>
      <b/>
      <sz val="5"/>
      <color indexed="8"/>
      <name val="Times New Roman"/>
      <family val="1"/>
      <charset val="204"/>
    </font>
    <font>
      <sz val="14"/>
      <name val="Times New Roman"/>
      <family val="1"/>
      <charset val="204"/>
    </font>
    <font>
      <sz val="10"/>
      <name val="Arial CE"/>
    </font>
    <font>
      <sz val="9"/>
      <name val="PL Arial"/>
    </font>
    <font>
      <sz val="10"/>
      <name val="PL Arial"/>
    </font>
    <font>
      <b/>
      <sz val="18"/>
      <name val="Times New Roman"/>
      <family val="1"/>
      <charset val="204"/>
    </font>
    <font>
      <sz val="10"/>
      <name val="Helv"/>
    </font>
    <font>
      <b/>
      <sz val="14"/>
      <name val="PL Arial"/>
    </font>
    <font>
      <b/>
      <sz val="15"/>
      <color indexed="56"/>
      <name val="Calibri"/>
      <family val="2"/>
      <charset val="204"/>
    </font>
    <font>
      <b/>
      <sz val="13"/>
      <color indexed="56"/>
      <name val="Calibri"/>
      <family val="2"/>
      <charset val="204"/>
    </font>
    <font>
      <b/>
      <sz val="11"/>
      <color indexed="56"/>
      <name val="Calibri"/>
      <family val="2"/>
      <charset val="204"/>
    </font>
    <font>
      <sz val="8"/>
      <name val="Times New Roman"/>
      <family val="1"/>
      <charset val="204"/>
    </font>
    <font>
      <b/>
      <sz val="18"/>
      <color indexed="56"/>
      <name val="Cambria"/>
      <family val="2"/>
      <charset val="204"/>
    </font>
    <font>
      <sz val="10"/>
      <color indexed="8"/>
      <name val="MS Sans Serif"/>
      <family val="2"/>
      <charset val="204"/>
    </font>
    <font>
      <sz val="14"/>
      <color indexed="8"/>
      <name val="Calibri"/>
      <family val="2"/>
      <charset val="204"/>
    </font>
    <font>
      <sz val="12"/>
      <name val="UkrainianPragmatica"/>
      <charset val="204"/>
    </font>
    <font>
      <b/>
      <sz val="5"/>
      <color indexed="8"/>
      <name val="Times New Roman"/>
      <family val="1"/>
      <charset val="204"/>
    </font>
    <font>
      <b/>
      <sz val="10"/>
      <color indexed="8"/>
      <name val="Times New Roman"/>
      <family val="1"/>
      <charset val="204"/>
    </font>
    <font>
      <b/>
      <sz val="10"/>
      <name val="Times New Roman"/>
      <family val="1"/>
      <charset val="204"/>
    </font>
    <font>
      <b/>
      <sz val="12"/>
      <color indexed="8"/>
      <name val="Times New Roman"/>
      <family val="1"/>
      <charset val="204"/>
    </font>
    <font>
      <sz val="12"/>
      <color indexed="8"/>
      <name val="Times New Roman"/>
      <family val="1"/>
      <charset val="204"/>
    </font>
    <font>
      <sz val="10"/>
      <color indexed="8"/>
      <name val="Bookman Old Style"/>
      <family val="1"/>
      <charset val="204"/>
    </font>
    <font>
      <sz val="11"/>
      <name val="Arial Cyr"/>
      <charset val="204"/>
    </font>
    <font>
      <b/>
      <sz val="11"/>
      <name val="Bookman Old Style"/>
      <family val="1"/>
      <charset val="204"/>
    </font>
    <font>
      <i/>
      <sz val="11"/>
      <name val="Bookman Old Style"/>
      <family val="1"/>
      <charset val="204"/>
    </font>
    <font>
      <b/>
      <sz val="5"/>
      <color indexed="8"/>
      <name val="Times New Roman"/>
      <family val="1"/>
      <charset val="204"/>
    </font>
    <font>
      <b/>
      <sz val="7"/>
      <color indexed="8"/>
      <name val="Times New Roman"/>
      <family val="1"/>
      <charset val="204"/>
    </font>
    <font>
      <sz val="7"/>
      <color indexed="8"/>
      <name val="Times New Roman"/>
      <family val="1"/>
      <charset val="204"/>
    </font>
    <font>
      <b/>
      <sz val="8"/>
      <color indexed="8"/>
      <name val="Times New Roman"/>
      <family val="1"/>
      <charset val="204"/>
    </font>
    <font>
      <b/>
      <sz val="9"/>
      <color indexed="8"/>
      <name val="Times New Roman"/>
      <family val="1"/>
      <charset val="204"/>
    </font>
    <font>
      <b/>
      <sz val="7"/>
      <color indexed="8"/>
      <name val="Times New Roman"/>
      <family val="1"/>
      <charset val="204"/>
    </font>
    <font>
      <sz val="7"/>
      <color indexed="8"/>
      <name val="Times New Roman"/>
      <family val="1"/>
      <charset val="204"/>
    </font>
    <font>
      <b/>
      <sz val="5"/>
      <color indexed="8"/>
      <name val="Times New Roman"/>
      <family val="1"/>
      <charset val="204"/>
    </font>
    <font>
      <b/>
      <sz val="8"/>
      <color indexed="8"/>
      <name val="Arial"/>
      <family val="2"/>
      <charset val="204"/>
    </font>
  </fonts>
  <fills count="52">
    <fill>
      <patternFill patternType="none"/>
    </fill>
    <fill>
      <patternFill patternType="gray125"/>
    </fill>
    <fill>
      <patternFill patternType="solid">
        <fgColor indexed="31"/>
      </patternFill>
    </fill>
    <fill>
      <patternFill patternType="solid">
        <fgColor indexed="47"/>
      </patternFill>
    </fill>
    <fill>
      <patternFill patternType="solid">
        <fgColor indexed="9"/>
      </patternFill>
    </fill>
    <fill>
      <patternFill patternType="solid">
        <fgColor indexed="26"/>
      </patternFill>
    </fill>
    <fill>
      <patternFill patternType="solid">
        <fgColor indexed="27"/>
      </patternFill>
    </fill>
    <fill>
      <patternFill patternType="solid">
        <fgColor indexed="42"/>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patternFill>
    </fill>
    <fill>
      <patternFill patternType="solid">
        <fgColor indexed="22"/>
      </patternFill>
    </fill>
    <fill>
      <patternFill patternType="solid">
        <fgColor indexed="43"/>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49"/>
      </patternFill>
    </fill>
    <fill>
      <patternFill patternType="solid">
        <fgColor indexed="57"/>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53"/>
      </patternFill>
    </fill>
    <fill>
      <patternFill patternType="solid">
        <fgColor indexed="55"/>
      </patternFill>
    </fill>
    <fill>
      <patternFill patternType="lightGray"/>
    </fill>
    <fill>
      <patternFill patternType="gray0625"/>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1"/>
        <bgColor indexed="64"/>
      </patternFill>
    </fill>
    <fill>
      <patternFill patternType="solid">
        <fgColor indexed="9"/>
        <bgColor indexed="64"/>
      </patternFill>
    </fill>
    <fill>
      <patternFill patternType="solid">
        <fgColor indexed="13"/>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bottom/>
      <diagonal/>
    </border>
    <border>
      <left style="medium">
        <color indexed="64"/>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8"/>
      </left>
      <right/>
      <top style="thin">
        <color indexed="8"/>
      </top>
      <bottom/>
      <diagonal/>
    </border>
  </borders>
  <cellStyleXfs count="904">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2" borderId="0" applyNumberFormat="0" applyBorder="0" applyAlignment="0" applyProtection="0"/>
    <xf numFmtId="0" fontId="41" fillId="6" borderId="0" applyNumberFormat="0" applyBorder="0" applyAlignment="0" applyProtection="0"/>
    <xf numFmtId="0" fontId="41" fillId="2" borderId="0" applyNumberFormat="0" applyBorder="0" applyAlignment="0" applyProtection="0"/>
    <xf numFmtId="0" fontId="41" fillId="6"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3" borderId="0" applyNumberFormat="0" applyBorder="0" applyAlignment="0" applyProtection="0"/>
    <xf numFmtId="0" fontId="41" fillId="10"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3" borderId="0" applyNumberFormat="0" applyBorder="0" applyAlignment="0" applyProtection="0"/>
    <xf numFmtId="0" fontId="41" fillId="10" borderId="0" applyNumberFormat="0" applyBorder="0" applyAlignment="0" applyProtection="0"/>
    <xf numFmtId="0" fontId="41" fillId="9" borderId="0" applyNumberFormat="0" applyBorder="0" applyAlignment="0" applyProtection="0"/>
    <xf numFmtId="0" fontId="41" fillId="3" borderId="0" applyNumberFormat="0" applyBorder="0" applyAlignment="0" applyProtection="0"/>
    <xf numFmtId="0" fontId="41" fillId="9" borderId="0" applyNumberFormat="0" applyBorder="0" applyAlignment="0" applyProtection="0"/>
    <xf numFmtId="0" fontId="41" fillId="3"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4" borderId="0" applyNumberFormat="0" applyBorder="0" applyAlignment="0" applyProtection="0"/>
    <xf numFmtId="0" fontId="41" fillId="11"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4" borderId="0" applyNumberFormat="0" applyBorder="0" applyAlignment="0" applyProtection="0"/>
    <xf numFmtId="0" fontId="41" fillId="11" borderId="0" applyNumberFormat="0" applyBorder="0" applyAlignment="0" applyProtection="0"/>
    <xf numFmtId="0" fontId="41" fillId="7" borderId="0" applyNumberFormat="0" applyBorder="0" applyAlignment="0" applyProtection="0"/>
    <xf numFmtId="0" fontId="41" fillId="4" borderId="0" applyNumberFormat="0" applyBorder="0" applyAlignment="0" applyProtection="0"/>
    <xf numFmtId="0" fontId="41" fillId="7" borderId="0" applyNumberFormat="0" applyBorder="0" applyAlignment="0" applyProtection="0"/>
    <xf numFmtId="0" fontId="41" fillId="4"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5" borderId="0" applyNumberFormat="0" applyBorder="0" applyAlignment="0" applyProtection="0"/>
    <xf numFmtId="0" fontId="41" fillId="13"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5" borderId="0" applyNumberFormat="0" applyBorder="0" applyAlignment="0" applyProtection="0"/>
    <xf numFmtId="0" fontId="41" fillId="13" borderId="0" applyNumberFormat="0" applyBorder="0" applyAlignment="0" applyProtection="0"/>
    <xf numFmtId="0" fontId="41" fillId="12" borderId="0" applyNumberFormat="0" applyBorder="0" applyAlignment="0" applyProtection="0"/>
    <xf numFmtId="0" fontId="41" fillId="5" borderId="0" applyNumberFormat="0" applyBorder="0" applyAlignment="0" applyProtection="0"/>
    <xf numFmtId="0" fontId="41" fillId="12" borderId="0" applyNumberFormat="0" applyBorder="0" applyAlignment="0" applyProtection="0"/>
    <xf numFmtId="0" fontId="41" fillId="5"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2" borderId="0" applyNumberFormat="0" applyBorder="0" applyAlignment="0" applyProtection="0"/>
    <xf numFmtId="0" fontId="41" fillId="14"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2" borderId="0" applyNumberFormat="0" applyBorder="0" applyAlignment="0" applyProtection="0"/>
    <xf numFmtId="0" fontId="41" fillId="14" borderId="0" applyNumberFormat="0" applyBorder="0" applyAlignment="0" applyProtection="0"/>
    <xf numFmtId="0" fontId="41" fillId="6" borderId="0" applyNumberFormat="0" applyBorder="0" applyAlignment="0" applyProtection="0"/>
    <xf numFmtId="0" fontId="41" fillId="2" borderId="0" applyNumberFormat="0" applyBorder="0" applyAlignment="0" applyProtection="0"/>
    <xf numFmtId="0" fontId="41" fillId="6" borderId="0" applyNumberFormat="0" applyBorder="0" applyAlignment="0" applyProtection="0"/>
    <xf numFmtId="0" fontId="41" fillId="2"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15"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15"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2" borderId="0" applyNumberFormat="0" applyBorder="0" applyAlignment="0" applyProtection="0"/>
    <xf numFmtId="0" fontId="41" fillId="8" borderId="0" applyNumberFormat="0" applyBorder="0" applyAlignment="0" applyProtection="0"/>
    <xf numFmtId="0" fontId="41" fillId="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9" borderId="0" applyNumberFormat="0" applyBorder="0" applyAlignment="0" applyProtection="0"/>
    <xf numFmtId="0" fontId="41" fillId="7" borderId="0" applyNumberFormat="0" applyBorder="0" applyAlignment="0" applyProtection="0"/>
    <xf numFmtId="0" fontId="41" fillId="11" borderId="0" applyNumberFormat="0" applyBorder="0" applyAlignment="0" applyProtection="0"/>
    <xf numFmtId="0" fontId="41" fillId="7" borderId="0" applyNumberFormat="0" applyBorder="0" applyAlignment="0" applyProtection="0"/>
    <xf numFmtId="0" fontId="41" fillId="12" borderId="0" applyNumberFormat="0" applyBorder="0" applyAlignment="0" applyProtection="0"/>
    <xf numFmtId="0" fontId="41" fillId="13" borderId="0" applyNumberFormat="0" applyBorder="0" applyAlignment="0" applyProtection="0"/>
    <xf numFmtId="0" fontId="41" fillId="12" borderId="0" applyNumberFormat="0" applyBorder="0" applyAlignment="0" applyProtection="0"/>
    <xf numFmtId="0" fontId="41" fillId="6" borderId="0" applyNumberFormat="0" applyBorder="0" applyAlignment="0" applyProtection="0"/>
    <xf numFmtId="0" fontId="41" fillId="1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15" borderId="0" applyNumberFormat="0" applyBorder="0" applyAlignment="0" applyProtection="0"/>
    <xf numFmtId="0" fontId="41" fillId="3" borderId="0" applyNumberFormat="0" applyBorder="0" applyAlignment="0" applyProtection="0"/>
    <xf numFmtId="0" fontId="41" fillId="16" borderId="0" applyNumberFormat="0" applyBorder="0" applyAlignment="0" applyProtection="0"/>
    <xf numFmtId="0" fontId="41" fillId="3"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6" borderId="0" applyNumberFormat="0" applyBorder="0" applyAlignment="0" applyProtection="0"/>
    <xf numFmtId="0" fontId="41" fillId="18"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3" borderId="0" applyNumberFormat="0" applyBorder="0" applyAlignment="0" applyProtection="0"/>
    <xf numFmtId="0" fontId="41" fillId="21"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3" borderId="0" applyNumberFormat="0" applyBorder="0" applyAlignment="0" applyProtection="0"/>
    <xf numFmtId="0" fontId="41" fillId="21" borderId="0" applyNumberFormat="0" applyBorder="0" applyAlignment="0" applyProtection="0"/>
    <xf numFmtId="0" fontId="41" fillId="20" borderId="0" applyNumberFormat="0" applyBorder="0" applyAlignment="0" applyProtection="0"/>
    <xf numFmtId="0" fontId="41" fillId="3" borderId="0" applyNumberFormat="0" applyBorder="0" applyAlignment="0" applyProtection="0"/>
    <xf numFmtId="0" fontId="41" fillId="20" borderId="0" applyNumberFormat="0" applyBorder="0" applyAlignment="0" applyProtection="0"/>
    <xf numFmtId="0" fontId="41" fillId="3"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17" borderId="0" applyNumberFormat="0" applyBorder="0" applyAlignment="0" applyProtection="0"/>
    <xf numFmtId="0" fontId="41" fillId="23"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17" borderId="0" applyNumberFormat="0" applyBorder="0" applyAlignment="0" applyProtection="0"/>
    <xf numFmtId="0" fontId="41" fillId="23" borderId="0" applyNumberFormat="0" applyBorder="0" applyAlignment="0" applyProtection="0"/>
    <xf numFmtId="0" fontId="41" fillId="22" borderId="0" applyNumberFormat="0" applyBorder="0" applyAlignment="0" applyProtection="0"/>
    <xf numFmtId="0" fontId="41" fillId="17" borderId="0" applyNumberFormat="0" applyBorder="0" applyAlignment="0" applyProtection="0"/>
    <xf numFmtId="0" fontId="41" fillId="22" borderId="0" applyNumberFormat="0" applyBorder="0" applyAlignment="0" applyProtection="0"/>
    <xf numFmtId="0" fontId="41" fillId="17"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2" borderId="0" applyNumberFormat="0" applyBorder="0" applyAlignment="0" applyProtection="0"/>
    <xf numFmtId="0" fontId="41" fillId="18" borderId="0" applyNumberFormat="0" applyBorder="0" applyAlignment="0" applyProtection="0"/>
    <xf numFmtId="0" fontId="41" fillId="12" borderId="0" applyNumberFormat="0" applyBorder="0" applyAlignment="0" applyProtection="0"/>
    <xf numFmtId="0" fontId="41" fillId="18"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18" borderId="0" applyNumberFormat="0" applyBorder="0" applyAlignment="0" applyProtection="0"/>
    <xf numFmtId="0" fontId="41" fillId="25"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18" borderId="0" applyNumberFormat="0" applyBorder="0" applyAlignment="0" applyProtection="0"/>
    <xf numFmtId="0" fontId="41" fillId="25" borderId="0" applyNumberFormat="0" applyBorder="0" applyAlignment="0" applyProtection="0"/>
    <xf numFmtId="0" fontId="41" fillId="24" borderId="0" applyNumberFormat="0" applyBorder="0" applyAlignment="0" applyProtection="0"/>
    <xf numFmtId="0" fontId="41" fillId="18" borderId="0" applyNumberFormat="0" applyBorder="0" applyAlignment="0" applyProtection="0"/>
    <xf numFmtId="0" fontId="41" fillId="24" borderId="0" applyNumberFormat="0" applyBorder="0" applyAlignment="0" applyProtection="0"/>
    <xf numFmtId="0" fontId="41" fillId="18"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16"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0"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2" borderId="0" applyNumberFormat="0" applyBorder="0" applyAlignment="0" applyProtection="0"/>
    <xf numFmtId="0" fontId="41" fillId="12" borderId="0" applyNumberFormat="0" applyBorder="0" applyAlignment="0" applyProtection="0"/>
    <xf numFmtId="0" fontId="41" fillId="13" borderId="0" applyNumberFormat="0" applyBorder="0" applyAlignment="0" applyProtection="0"/>
    <xf numFmtId="0" fontId="41" fillId="12" borderId="0" applyNumberFormat="0" applyBorder="0" applyAlignment="0" applyProtection="0"/>
    <xf numFmtId="0" fontId="41" fillId="16" borderId="0" applyNumberFormat="0" applyBorder="0" applyAlignment="0" applyProtection="0"/>
    <xf numFmtId="0" fontId="41" fillId="19"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4" borderId="0" applyNumberFormat="0" applyBorder="0" applyAlignment="0" applyProtection="0"/>
    <xf numFmtId="0" fontId="42" fillId="26" borderId="0" applyNumberFormat="0" applyBorder="0" applyAlignment="0" applyProtection="0"/>
    <xf numFmtId="0" fontId="42" fillId="3"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6" borderId="0" applyNumberFormat="0" applyBorder="0" applyAlignment="0" applyProtection="0"/>
    <xf numFmtId="0" fontId="42" fillId="27"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16" borderId="0" applyNumberFormat="0" applyBorder="0" applyAlignment="0" applyProtection="0"/>
    <xf numFmtId="0" fontId="42" fillId="29"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16" borderId="0" applyNumberFormat="0" applyBorder="0" applyAlignment="0" applyProtection="0"/>
    <xf numFmtId="0" fontId="42" fillId="29" borderId="0" applyNumberFormat="0" applyBorder="0" applyAlignment="0" applyProtection="0"/>
    <xf numFmtId="0" fontId="42" fillId="28" borderId="0" applyNumberFormat="0" applyBorder="0" applyAlignment="0" applyProtection="0"/>
    <xf numFmtId="0" fontId="42" fillId="16" borderId="0" applyNumberFormat="0" applyBorder="0" applyAlignment="0" applyProtection="0"/>
    <xf numFmtId="0" fontId="42" fillId="28" borderId="0" applyNumberFormat="0" applyBorder="0" applyAlignment="0" applyProtection="0"/>
    <xf numFmtId="0" fontId="42" fillId="16"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3" borderId="0" applyNumberFormat="0" applyBorder="0" applyAlignment="0" applyProtection="0"/>
    <xf numFmtId="0" fontId="42" fillId="21"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3" borderId="0" applyNumberFormat="0" applyBorder="0" applyAlignment="0" applyProtection="0"/>
    <xf numFmtId="0" fontId="42" fillId="21" borderId="0" applyNumberFormat="0" applyBorder="0" applyAlignment="0" applyProtection="0"/>
    <xf numFmtId="0" fontId="42" fillId="20" borderId="0" applyNumberFormat="0" applyBorder="0" applyAlignment="0" applyProtection="0"/>
    <xf numFmtId="0" fontId="42" fillId="3" borderId="0" applyNumberFormat="0" applyBorder="0" applyAlignment="0" applyProtection="0"/>
    <xf numFmtId="0" fontId="42" fillId="20" borderId="0" applyNumberFormat="0" applyBorder="0" applyAlignment="0" applyProtection="0"/>
    <xf numFmtId="0" fontId="42" fillId="3"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0"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17" borderId="0" applyNumberFormat="0" applyBorder="0" applyAlignment="0" applyProtection="0"/>
    <xf numFmtId="0" fontId="42" fillId="23"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17" borderId="0" applyNumberFormat="0" applyBorder="0" applyAlignment="0" applyProtection="0"/>
    <xf numFmtId="0" fontId="42" fillId="23" borderId="0" applyNumberFormat="0" applyBorder="0" applyAlignment="0" applyProtection="0"/>
    <xf numFmtId="0" fontId="42" fillId="22" borderId="0" applyNumberFormat="0" applyBorder="0" applyAlignment="0" applyProtection="0"/>
    <xf numFmtId="0" fontId="42" fillId="17" borderId="0" applyNumberFormat="0" applyBorder="0" applyAlignment="0" applyProtection="0"/>
    <xf numFmtId="0" fontId="42" fillId="22" borderId="0" applyNumberFormat="0" applyBorder="0" applyAlignment="0" applyProtection="0"/>
    <xf numFmtId="0" fontId="42" fillId="17"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18" borderId="0" applyNumberFormat="0" applyBorder="0" applyAlignment="0" applyProtection="0"/>
    <xf numFmtId="0" fontId="42" fillId="31"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18" borderId="0" applyNumberFormat="0" applyBorder="0" applyAlignment="0" applyProtection="0"/>
    <xf numFmtId="0" fontId="42" fillId="31" borderId="0" applyNumberFormat="0" applyBorder="0" applyAlignment="0" applyProtection="0"/>
    <xf numFmtId="0" fontId="42" fillId="30" borderId="0" applyNumberFormat="0" applyBorder="0" applyAlignment="0" applyProtection="0"/>
    <xf numFmtId="0" fontId="42" fillId="18" borderId="0" applyNumberFormat="0" applyBorder="0" applyAlignment="0" applyProtection="0"/>
    <xf numFmtId="0" fontId="42" fillId="30" borderId="0" applyNumberFormat="0" applyBorder="0" applyAlignment="0" applyProtection="0"/>
    <xf numFmtId="0" fontId="42" fillId="18"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32"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26"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27" borderId="0" applyNumberFormat="0" applyBorder="0" applyAlignment="0" applyProtection="0"/>
    <xf numFmtId="0" fontId="42" fillId="34"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27" borderId="0" applyNumberFormat="0" applyBorder="0" applyAlignment="0" applyProtection="0"/>
    <xf numFmtId="0" fontId="42" fillId="34" borderId="0" applyNumberFormat="0" applyBorder="0" applyAlignment="0" applyProtection="0"/>
    <xf numFmtId="0" fontId="42" fillId="33" borderId="0" applyNumberFormat="0" applyBorder="0" applyAlignment="0" applyProtection="0"/>
    <xf numFmtId="0" fontId="42" fillId="27" borderId="0" applyNumberFormat="0" applyBorder="0" applyAlignment="0" applyProtection="0"/>
    <xf numFmtId="0" fontId="42" fillId="33" borderId="0" applyNumberFormat="0" applyBorder="0" applyAlignment="0" applyProtection="0"/>
    <xf numFmtId="0" fontId="42" fillId="27"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42" fillId="28"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0"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2" borderId="0" applyNumberFormat="0" applyBorder="0" applyAlignment="0" applyProtection="0"/>
    <xf numFmtId="0" fontId="42" fillId="30" borderId="0" applyNumberFormat="0" applyBorder="0" applyAlignment="0" applyProtection="0"/>
    <xf numFmtId="0" fontId="42" fillId="31" borderId="0" applyNumberFormat="0" applyBorder="0" applyAlignment="0" applyProtection="0"/>
    <xf numFmtId="0" fontId="42" fillId="30" borderId="0" applyNumberFormat="0" applyBorder="0" applyAlignment="0" applyProtection="0"/>
    <xf numFmtId="0" fontId="42" fillId="26"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42" fillId="34" borderId="0" applyNumberFormat="0" applyBorder="0" applyAlignment="0" applyProtection="0"/>
    <xf numFmtId="0" fontId="42" fillId="33" borderId="0" applyNumberFormat="0" applyBorder="0" applyAlignment="0" applyProtection="0"/>
    <xf numFmtId="173" fontId="85" fillId="0" borderId="0" applyFont="0" applyFill="0" applyBorder="0" applyAlignment="0" applyProtection="0"/>
    <xf numFmtId="174" fontId="85" fillId="0" borderId="0" applyFont="0" applyFill="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24" borderId="0" applyNumberFormat="0" applyBorder="0" applyAlignment="0" applyProtection="0"/>
    <xf numFmtId="0" fontId="42" fillId="26" borderId="0" applyNumberFormat="0" applyBorder="0" applyAlignment="0" applyProtection="0"/>
    <xf numFmtId="0" fontId="42" fillId="27" borderId="0" applyNumberFormat="0" applyBorder="0" applyAlignment="0" applyProtection="0"/>
    <xf numFmtId="0" fontId="43" fillId="9" borderId="0" applyNumberFormat="0" applyBorder="0" applyAlignment="0" applyProtection="0"/>
    <xf numFmtId="9" fontId="86" fillId="0" borderId="0"/>
    <xf numFmtId="0" fontId="44" fillId="17" borderId="1" applyNumberFormat="0" applyAlignment="0" applyProtection="0"/>
    <xf numFmtId="4" fontId="87" fillId="0" borderId="0" applyFill="0" applyBorder="0" applyProtection="0">
      <alignment horizontal="right"/>
    </xf>
    <xf numFmtId="3" fontId="87" fillId="0" borderId="0" applyFill="0" applyBorder="0" applyProtection="0"/>
    <xf numFmtId="4" fontId="87" fillId="0" borderId="0"/>
    <xf numFmtId="3" fontId="87" fillId="0" borderId="0"/>
    <xf numFmtId="0" fontId="45" fillId="37" borderId="2" applyNumberFormat="0" applyAlignment="0" applyProtection="0"/>
    <xf numFmtId="175" fontId="32" fillId="0" borderId="0" applyFont="0" applyFill="0" applyBorder="0" applyAlignment="0" applyProtection="0"/>
    <xf numFmtId="176" fontId="32" fillId="0" borderId="0" applyFont="0" applyFill="0" applyBorder="0" applyAlignment="0" applyProtection="0"/>
    <xf numFmtId="177" fontId="32" fillId="0" borderId="0" applyFont="0" applyFill="0" applyBorder="0" applyAlignment="0" applyProtection="0"/>
    <xf numFmtId="178" fontId="32" fillId="0" borderId="0" applyFont="0" applyFill="0" applyBorder="0" applyAlignment="0" applyProtection="0"/>
    <xf numFmtId="16" fontId="86" fillId="0" borderId="0"/>
    <xf numFmtId="179" fontId="85" fillId="0" borderId="0" applyFont="0" applyFill="0" applyBorder="0" applyAlignment="0" applyProtection="0"/>
    <xf numFmtId="180" fontId="85" fillId="0" borderId="0" applyFont="0" applyFill="0" applyBorder="0" applyAlignment="0" applyProtection="0"/>
    <xf numFmtId="0" fontId="41" fillId="0" borderId="0"/>
    <xf numFmtId="0" fontId="46" fillId="0" borderId="0" applyNumberFormat="0" applyFill="0" applyBorder="0" applyAlignment="0" applyProtection="0"/>
    <xf numFmtId="0" fontId="11" fillId="0" borderId="0" applyNumberFormat="0" applyFill="0" applyBorder="0" applyAlignment="0" applyProtection="0">
      <alignment vertical="top"/>
      <protection locked="0"/>
    </xf>
    <xf numFmtId="0" fontId="47" fillId="7" borderId="0" applyNumberFormat="0" applyBorder="0" applyAlignment="0" applyProtection="0"/>
    <xf numFmtId="0" fontId="48" fillId="0" borderId="3" applyNumberFormat="0" applyFill="0" applyAlignment="0" applyProtection="0"/>
    <xf numFmtId="0" fontId="49" fillId="0" borderId="4" applyNumberFormat="0" applyFill="0" applyAlignment="0" applyProtection="0"/>
    <xf numFmtId="0" fontId="50" fillId="0" borderId="5" applyNumberFormat="0" applyFill="0" applyAlignment="0" applyProtection="0"/>
    <xf numFmtId="0" fontId="50" fillId="0" borderId="0" applyNumberFormat="0" applyFill="0" applyBorder="0" applyAlignment="0" applyProtection="0"/>
    <xf numFmtId="181" fontId="88" fillId="38" borderId="0"/>
    <xf numFmtId="0" fontId="58" fillId="39" borderId="0"/>
    <xf numFmtId="181" fontId="84" fillId="0" borderId="0"/>
    <xf numFmtId="0" fontId="10" fillId="0" borderId="0" applyNumberFormat="0" applyFill="0" applyBorder="0" applyAlignment="0" applyProtection="0">
      <alignment vertical="top"/>
      <protection locked="0"/>
    </xf>
    <xf numFmtId="0" fontId="85" fillId="0" borderId="0"/>
    <xf numFmtId="0" fontId="51" fillId="3" borderId="1" applyNumberFormat="0" applyAlignment="0" applyProtection="0"/>
    <xf numFmtId="0" fontId="52" fillId="0" borderId="6" applyNumberFormat="0" applyFill="0" applyAlignment="0" applyProtection="0"/>
    <xf numFmtId="10" fontId="87" fillId="17" borderId="0" applyFill="0" applyBorder="0" applyProtection="0">
      <alignment horizontal="center"/>
    </xf>
    <xf numFmtId="10" fontId="87" fillId="0" borderId="0"/>
    <xf numFmtId="0" fontId="87" fillId="0" borderId="0"/>
    <xf numFmtId="0" fontId="53" fillId="18" borderId="0" applyNumberFormat="0" applyBorder="0" applyAlignment="0" applyProtection="0"/>
    <xf numFmtId="0" fontId="32" fillId="0" borderId="0"/>
    <xf numFmtId="0" fontId="89" fillId="0" borderId="0"/>
    <xf numFmtId="0" fontId="85" fillId="0" borderId="0"/>
    <xf numFmtId="0" fontId="1" fillId="5" borderId="7" applyNumberFormat="0" applyFont="0" applyAlignment="0" applyProtection="0"/>
    <xf numFmtId="38" fontId="85" fillId="0" borderId="0" applyFont="0" applyFill="0" applyBorder="0" applyAlignment="0" applyProtection="0"/>
    <xf numFmtId="40" fontId="85" fillId="0" borderId="0" applyFont="0" applyFill="0" applyBorder="0" applyAlignment="0" applyProtection="0"/>
    <xf numFmtId="0" fontId="54" fillId="17" borderId="8" applyNumberFormat="0" applyAlignment="0" applyProtection="0"/>
    <xf numFmtId="0" fontId="55" fillId="0" borderId="0" applyNumberFormat="0" applyFill="0" applyBorder="0" applyAlignment="0" applyProtection="0"/>
    <xf numFmtId="0" fontId="56" fillId="0" borderId="9" applyNumberFormat="0" applyFill="0" applyAlignment="0" applyProtection="0"/>
    <xf numFmtId="10" fontId="86" fillId="0" borderId="0">
      <alignment horizontal="center"/>
    </xf>
    <xf numFmtId="0" fontId="90" fillId="17" borderId="0"/>
    <xf numFmtId="182" fontId="85" fillId="0" borderId="0" applyFont="0" applyFill="0" applyBorder="0" applyAlignment="0" applyProtection="0"/>
    <xf numFmtId="183" fontId="85" fillId="0" borderId="0" applyFont="0" applyFill="0" applyBorder="0" applyAlignment="0" applyProtection="0"/>
    <xf numFmtId="0" fontId="57" fillId="0" borderId="0" applyNumberFormat="0" applyFill="0" applyBorder="0" applyAlignment="0" applyProtection="0"/>
    <xf numFmtId="0" fontId="42" fillId="35" borderId="0" applyNumberFormat="0" applyBorder="0" applyAlignment="0" applyProtection="0"/>
    <xf numFmtId="0" fontId="42" fillId="40"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2" borderId="0" applyNumberFormat="0" applyBorder="0" applyAlignment="0" applyProtection="0"/>
    <xf numFmtId="0" fontId="42" fillId="27" borderId="0" applyNumberFormat="0" applyBorder="0" applyAlignment="0" applyProtection="0"/>
    <xf numFmtId="0" fontId="42" fillId="43" borderId="0" applyNumberFormat="0" applyBorder="0" applyAlignment="0" applyProtection="0"/>
    <xf numFmtId="0" fontId="42" fillId="43" borderId="0" applyNumberFormat="0" applyBorder="0" applyAlignment="0" applyProtection="0"/>
    <xf numFmtId="0" fontId="42" fillId="30" borderId="0" applyNumberFormat="0" applyBorder="0" applyAlignment="0" applyProtection="0"/>
    <xf numFmtId="0" fontId="42" fillId="31" borderId="0" applyNumberFormat="0" applyBorder="0" applyAlignment="0" applyProtection="0"/>
    <xf numFmtId="0" fontId="42" fillId="31" borderId="0" applyNumberFormat="0" applyBorder="0" applyAlignment="0" applyProtection="0"/>
    <xf numFmtId="0" fontId="42" fillId="26" borderId="0" applyNumberFormat="0" applyBorder="0" applyAlignment="0" applyProtection="0"/>
    <xf numFmtId="0" fontId="42" fillId="32" borderId="0" applyNumberFormat="0" applyBorder="0" applyAlignment="0" applyProtection="0"/>
    <xf numFmtId="0" fontId="42" fillId="32" borderId="0" applyNumberFormat="0" applyBorder="0" applyAlignment="0" applyProtection="0"/>
    <xf numFmtId="0" fontId="42" fillId="36" borderId="0" applyNumberFormat="0" applyBorder="0" applyAlignment="0" applyProtection="0"/>
    <xf numFmtId="0" fontId="42" fillId="44" borderId="0" applyNumberFormat="0" applyBorder="0" applyAlignment="0" applyProtection="0"/>
    <xf numFmtId="0" fontId="42" fillId="44" borderId="0" applyNumberFormat="0" applyBorder="0" applyAlignment="0" applyProtection="0"/>
    <xf numFmtId="0" fontId="42" fillId="35" borderId="0" applyNumberFormat="0" applyBorder="0" applyAlignment="0" applyProtection="0"/>
    <xf numFmtId="0" fontId="42" fillId="40" borderId="0" applyNumberFormat="0" applyBorder="0" applyAlignment="0" applyProtection="0"/>
    <xf numFmtId="0" fontId="42" fillId="35"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1" borderId="0" applyNumberFormat="0" applyBorder="0" applyAlignment="0" applyProtection="0"/>
    <xf numFmtId="0" fontId="42" fillId="27" borderId="0" applyNumberFormat="0" applyBorder="0" applyAlignment="0" applyProtection="0"/>
    <xf numFmtId="0" fontId="42" fillId="43" borderId="0" applyNumberFormat="0" applyBorder="0" applyAlignment="0" applyProtection="0"/>
    <xf numFmtId="0" fontId="42" fillId="27" borderId="0" applyNumberFormat="0" applyBorder="0" applyAlignment="0" applyProtection="0"/>
    <xf numFmtId="0" fontId="42" fillId="30" borderId="0" applyNumberFormat="0" applyBorder="0" applyAlignment="0" applyProtection="0"/>
    <xf numFmtId="0" fontId="42" fillId="31" borderId="0" applyNumberFormat="0" applyBorder="0" applyAlignment="0" applyProtection="0"/>
    <xf numFmtId="0" fontId="42" fillId="30" borderId="0" applyNumberFormat="0" applyBorder="0" applyAlignment="0" applyProtection="0"/>
    <xf numFmtId="0" fontId="42" fillId="26" borderId="0" applyNumberFormat="0" applyBorder="0" applyAlignment="0" applyProtection="0"/>
    <xf numFmtId="0" fontId="42" fillId="32" borderId="0" applyNumberFormat="0" applyBorder="0" applyAlignment="0" applyProtection="0"/>
    <xf numFmtId="0" fontId="42" fillId="26" borderId="0" applyNumberFormat="0" applyBorder="0" applyAlignment="0" applyProtection="0"/>
    <xf numFmtId="0" fontId="42" fillId="36" borderId="0" applyNumberFormat="0" applyBorder="0" applyAlignment="0" applyProtection="0"/>
    <xf numFmtId="0" fontId="42" fillId="44" borderId="0" applyNumberFormat="0" applyBorder="0" applyAlignment="0" applyProtection="0"/>
    <xf numFmtId="0" fontId="42" fillId="36" borderId="0" applyNumberFormat="0" applyBorder="0" applyAlignment="0" applyProtection="0"/>
    <xf numFmtId="0" fontId="51" fillId="3" borderId="1" applyNumberFormat="0" applyAlignment="0" applyProtection="0"/>
    <xf numFmtId="0" fontId="51" fillId="15" borderId="1" applyNumberFormat="0" applyAlignment="0" applyProtection="0"/>
    <xf numFmtId="0" fontId="51" fillId="3" borderId="1" applyNumberFormat="0" applyAlignment="0" applyProtection="0"/>
    <xf numFmtId="0" fontId="51" fillId="3" borderId="1" applyNumberFormat="0" applyAlignment="0" applyProtection="0"/>
    <xf numFmtId="0" fontId="51" fillId="15" borderId="1" applyNumberFormat="0" applyAlignment="0" applyProtection="0"/>
    <xf numFmtId="0" fontId="51" fillId="15" borderId="1" applyNumberFormat="0" applyAlignment="0" applyProtection="0"/>
    <xf numFmtId="0" fontId="54" fillId="17" borderId="8" applyNumberFormat="0" applyAlignment="0" applyProtection="0"/>
    <xf numFmtId="0" fontId="54" fillId="45" borderId="8" applyNumberFormat="0" applyAlignment="0" applyProtection="0"/>
    <xf numFmtId="0" fontId="54" fillId="17" borderId="8" applyNumberFormat="0" applyAlignment="0" applyProtection="0"/>
    <xf numFmtId="0" fontId="54" fillId="45" borderId="8" applyNumberFormat="0" applyAlignment="0" applyProtection="0"/>
    <xf numFmtId="0" fontId="44" fillId="17" borderId="1" applyNumberFormat="0" applyAlignment="0" applyProtection="0"/>
    <xf numFmtId="0" fontId="44" fillId="45" borderId="1" applyNumberFormat="0" applyAlignment="0" applyProtection="0"/>
    <xf numFmtId="0" fontId="44" fillId="45" borderId="1" applyNumberFormat="0" applyAlignment="0" applyProtection="0"/>
    <xf numFmtId="0" fontId="47" fillId="7" borderId="0" applyNumberFormat="0" applyBorder="0" applyAlignment="0" applyProtection="0"/>
    <xf numFmtId="0" fontId="47" fillId="7" borderId="0" applyNumberFormat="0" applyBorder="0" applyAlignment="0" applyProtection="0"/>
    <xf numFmtId="0" fontId="47" fillId="11" borderId="0" applyNumberFormat="0" applyBorder="0" applyAlignment="0" applyProtection="0"/>
    <xf numFmtId="0" fontId="91" fillId="0" borderId="3" applyNumberFormat="0" applyFill="0" applyAlignment="0" applyProtection="0"/>
    <xf numFmtId="0" fontId="92" fillId="0" borderId="10" applyNumberFormat="0" applyFill="0" applyAlignment="0" applyProtection="0"/>
    <xf numFmtId="0" fontId="93" fillId="0" borderId="11" applyNumberFormat="0" applyFill="0" applyAlignment="0" applyProtection="0"/>
    <xf numFmtId="0" fontId="93" fillId="0" borderId="0" applyNumberFormat="0" applyFill="0" applyBorder="0" applyAlignment="0" applyProtection="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1" fillId="0" borderId="0"/>
    <xf numFmtId="0" fontId="2" fillId="0" borderId="0"/>
    <xf numFmtId="0" fontId="32" fillId="0" borderId="0"/>
    <xf numFmtId="0" fontId="32" fillId="0" borderId="0"/>
    <xf numFmtId="0" fontId="1" fillId="0" borderId="0"/>
    <xf numFmtId="0" fontId="68" fillId="0" borderId="0"/>
    <xf numFmtId="0" fontId="1" fillId="0" borderId="0"/>
    <xf numFmtId="0" fontId="32" fillId="0" borderId="0"/>
    <xf numFmtId="0" fontId="1" fillId="0" borderId="0"/>
    <xf numFmtId="0" fontId="1" fillId="0" borderId="0"/>
    <xf numFmtId="0" fontId="32" fillId="0" borderId="0"/>
    <xf numFmtId="0" fontId="32" fillId="0" borderId="0"/>
    <xf numFmtId="0" fontId="1" fillId="0" borderId="0"/>
    <xf numFmtId="0" fontId="68" fillId="0" borderId="0"/>
    <xf numFmtId="0" fontId="68" fillId="0" borderId="0"/>
    <xf numFmtId="0" fontId="68" fillId="0" borderId="0"/>
    <xf numFmtId="0" fontId="68" fillId="0" borderId="0"/>
    <xf numFmtId="0" fontId="68" fillId="0" borderId="0"/>
    <xf numFmtId="0" fontId="62" fillId="0" borderId="0">
      <alignment vertical="top"/>
    </xf>
    <xf numFmtId="0" fontId="52" fillId="0" borderId="6" applyNumberFormat="0" applyFill="0" applyAlignment="0" applyProtection="0"/>
    <xf numFmtId="0" fontId="56" fillId="0" borderId="9" applyNumberFormat="0" applyFill="0" applyAlignment="0" applyProtection="0"/>
    <xf numFmtId="0" fontId="45" fillId="37" borderId="2" applyNumberFormat="0" applyAlignment="0" applyProtection="0"/>
    <xf numFmtId="0" fontId="45" fillId="46" borderId="2" applyNumberFormat="0" applyAlignment="0" applyProtection="0"/>
    <xf numFmtId="0" fontId="45" fillId="37" borderId="2" applyNumberFormat="0" applyAlignment="0" applyProtection="0"/>
    <xf numFmtId="0" fontId="45" fillId="37" borderId="2" applyNumberFormat="0" applyAlignment="0" applyProtection="0"/>
    <xf numFmtId="0" fontId="45" fillId="46" borderId="2" applyNumberFormat="0" applyAlignment="0" applyProtection="0"/>
    <xf numFmtId="0" fontId="45" fillId="46" borderId="2" applyNumberFormat="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44" fillId="17" borderId="1" applyNumberFormat="0" applyAlignment="0" applyProtection="0"/>
    <xf numFmtId="0" fontId="44" fillId="17" borderId="1" applyNumberFormat="0" applyAlignment="0" applyProtection="0"/>
    <xf numFmtId="0" fontId="44" fillId="17" borderId="1" applyNumberFormat="0" applyAlignment="0" applyProtection="0"/>
    <xf numFmtId="0" fontId="32" fillId="0" borderId="0"/>
    <xf numFmtId="0" fontId="32" fillId="0" borderId="0"/>
    <xf numFmtId="0" fontId="32" fillId="0" borderId="0"/>
    <xf numFmtId="0" fontId="32" fillId="0" borderId="0"/>
    <xf numFmtId="0" fontId="69" fillId="0" borderId="0"/>
    <xf numFmtId="0" fontId="41" fillId="0" borderId="0"/>
    <xf numFmtId="0" fontId="41" fillId="0" borderId="0"/>
    <xf numFmtId="0" fontId="41" fillId="0" borderId="0"/>
    <xf numFmtId="0" fontId="41" fillId="0" borderId="0"/>
    <xf numFmtId="0" fontId="41" fillId="0" borderId="0"/>
    <xf numFmtId="0" fontId="41" fillId="0" borderId="0"/>
    <xf numFmtId="0" fontId="69" fillId="0" borderId="0"/>
    <xf numFmtId="0" fontId="32" fillId="0" borderId="0"/>
    <xf numFmtId="0" fontId="32" fillId="0" borderId="0"/>
    <xf numFmtId="0" fontId="41" fillId="0" borderId="0"/>
    <xf numFmtId="0" fontId="32" fillId="0" borderId="0"/>
    <xf numFmtId="0" fontId="32" fillId="0" borderId="0"/>
    <xf numFmtId="0" fontId="32" fillId="0" borderId="0"/>
    <xf numFmtId="0" fontId="41" fillId="0" borderId="0"/>
    <xf numFmtId="0" fontId="2" fillId="0" borderId="0"/>
    <xf numFmtId="0" fontId="94" fillId="0" borderId="0"/>
    <xf numFmtId="0" fontId="94" fillId="0" borderId="0"/>
    <xf numFmtId="0" fontId="94" fillId="0" borderId="0"/>
    <xf numFmtId="0" fontId="94" fillId="0" borderId="0"/>
    <xf numFmtId="0" fontId="32" fillId="0" borderId="0"/>
    <xf numFmtId="0" fontId="32" fillId="0" borderId="0"/>
    <xf numFmtId="0" fontId="32" fillId="0" borderId="0"/>
    <xf numFmtId="0" fontId="32" fillId="0" borderId="0"/>
    <xf numFmtId="0" fontId="32" fillId="0" borderId="0"/>
    <xf numFmtId="0" fontId="32" fillId="0" borderId="0"/>
    <xf numFmtId="0" fontId="2" fillId="0" borderId="0"/>
    <xf numFmtId="0" fontId="32" fillId="0" borderId="0"/>
    <xf numFmtId="0" fontId="94" fillId="0" borderId="0"/>
    <xf numFmtId="0" fontId="94" fillId="0" borderId="0"/>
    <xf numFmtId="0" fontId="94" fillId="0" borderId="0"/>
    <xf numFmtId="0" fontId="94" fillId="0" borderId="0"/>
    <xf numFmtId="0" fontId="97" fillId="0" borderId="0"/>
    <xf numFmtId="0" fontId="97" fillId="0" borderId="0"/>
    <xf numFmtId="0" fontId="97" fillId="0" borderId="0"/>
    <xf numFmtId="0" fontId="97" fillId="0" borderId="0"/>
    <xf numFmtId="0" fontId="97" fillId="0" borderId="0"/>
    <xf numFmtId="0" fontId="96"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32" fillId="0" borderId="0"/>
    <xf numFmtId="0" fontId="32" fillId="0" borderId="0"/>
    <xf numFmtId="0" fontId="32" fillId="0" borderId="0"/>
    <xf numFmtId="0" fontId="32" fillId="0" borderId="0"/>
    <xf numFmtId="0" fontId="32" fillId="0" borderId="0"/>
    <xf numFmtId="0" fontId="41" fillId="0" borderId="0"/>
    <xf numFmtId="0" fontId="41" fillId="0" borderId="0"/>
    <xf numFmtId="0" fontId="41" fillId="0" borderId="0"/>
    <xf numFmtId="0" fontId="41" fillId="0" borderId="0"/>
    <xf numFmtId="0" fontId="41" fillId="0" borderId="0"/>
    <xf numFmtId="0" fontId="41" fillId="0" borderId="0"/>
    <xf numFmtId="0" fontId="69"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94" fillId="0" borderId="0"/>
    <xf numFmtId="0" fontId="69" fillId="0" borderId="0"/>
    <xf numFmtId="0" fontId="32" fillId="0" borderId="0"/>
    <xf numFmtId="0" fontId="32" fillId="0" borderId="0"/>
    <xf numFmtId="0" fontId="32" fillId="0" borderId="0"/>
    <xf numFmtId="0" fontId="32" fillId="0" borderId="0"/>
    <xf numFmtId="0" fontId="32" fillId="0" borderId="0"/>
    <xf numFmtId="0" fontId="14" fillId="0" borderId="0" applyNumberFormat="0" applyFont="0" applyFill="0" applyBorder="0" applyAlignment="0" applyProtection="0">
      <alignment vertical="top"/>
    </xf>
    <xf numFmtId="0" fontId="32" fillId="0" borderId="0"/>
    <xf numFmtId="0" fontId="74" fillId="0" borderId="0"/>
    <xf numFmtId="0" fontId="69" fillId="0" borderId="0"/>
    <xf numFmtId="0" fontId="32" fillId="0" borderId="0"/>
    <xf numFmtId="0" fontId="41" fillId="0" borderId="0"/>
    <xf numFmtId="0" fontId="41" fillId="0" borderId="0"/>
    <xf numFmtId="0" fontId="56" fillId="0" borderId="9" applyNumberFormat="0" applyFill="0" applyAlignment="0" applyProtection="0"/>
    <xf numFmtId="0" fontId="56" fillId="0" borderId="9" applyNumberFormat="0" applyFill="0" applyAlignment="0" applyProtection="0"/>
    <xf numFmtId="0" fontId="56" fillId="0" borderId="9" applyNumberFormat="0" applyFill="0" applyAlignment="0" applyProtection="0"/>
    <xf numFmtId="0" fontId="43" fillId="9"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6" fillId="0" borderId="0" applyNumberFormat="0" applyFill="0" applyBorder="0" applyAlignment="0" applyProtection="0"/>
    <xf numFmtId="0" fontId="41" fillId="5" borderId="7" applyNumberFormat="0" applyFont="0" applyAlignment="0" applyProtection="0"/>
    <xf numFmtId="0" fontId="1" fillId="48" borderId="7" applyNumberFormat="0" applyAlignment="0" applyProtection="0"/>
    <xf numFmtId="0" fontId="1" fillId="5" borderId="7" applyNumberFormat="0" applyFont="0" applyAlignment="0" applyProtection="0"/>
    <xf numFmtId="0" fontId="1" fillId="48" borderId="7" applyNumberFormat="0" applyAlignment="0" applyProtection="0"/>
    <xf numFmtId="0" fontId="41" fillId="5" borderId="7" applyNumberFormat="0" applyFont="0" applyAlignment="0" applyProtection="0"/>
    <xf numFmtId="0" fontId="41" fillId="5" borderId="7" applyNumberFormat="0" applyFont="0" applyAlignment="0" applyProtection="0"/>
    <xf numFmtId="0" fontId="41" fillId="5" borderId="7" applyNumberFormat="0" applyFont="0" applyAlignment="0" applyProtection="0"/>
    <xf numFmtId="9" fontId="1" fillId="0" borderId="0" applyFont="0" applyFill="0" applyBorder="0" applyAlignment="0" applyProtection="0"/>
    <xf numFmtId="9" fontId="1" fillId="0" borderId="0" applyFill="0" applyBorder="0" applyAlignment="0" applyProtection="0"/>
    <xf numFmtId="0" fontId="54" fillId="17" borderId="8" applyNumberFormat="0" applyAlignment="0" applyProtection="0"/>
    <xf numFmtId="0" fontId="54" fillId="17" borderId="8" applyNumberFormat="0" applyAlignment="0" applyProtection="0"/>
    <xf numFmtId="0" fontId="54" fillId="17" borderId="8" applyNumberFormat="0" applyAlignment="0" applyProtection="0"/>
    <xf numFmtId="0" fontId="52" fillId="0" borderId="6" applyNumberFormat="0" applyFill="0" applyAlignment="0" applyProtection="0"/>
    <xf numFmtId="0" fontId="53" fillId="18" borderId="0" applyNumberFormat="0" applyBorder="0" applyAlignment="0" applyProtection="0"/>
    <xf numFmtId="0" fontId="53" fillId="47" borderId="0" applyNumberFormat="0" applyBorder="0" applyAlignment="0" applyProtection="0"/>
    <xf numFmtId="0" fontId="70" fillId="0" borderId="0"/>
    <xf numFmtId="0" fontId="32" fillId="0" borderId="0"/>
    <xf numFmtId="0" fontId="89" fillId="0" borderId="0"/>
    <xf numFmtId="0" fontId="57"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57" fillId="0" borderId="0" applyNumberFormat="0" applyFill="0" applyBorder="0" applyAlignment="0" applyProtection="0"/>
    <xf numFmtId="164" fontId="1" fillId="0" borderId="0" applyFont="0" applyFill="0" applyBorder="0" applyAlignment="0" applyProtection="0"/>
    <xf numFmtId="176" fontId="98" fillId="0" borderId="0" applyFont="0" applyFill="0" applyBorder="0" applyAlignment="0" applyProtection="0"/>
    <xf numFmtId="166" fontId="1" fillId="0" borderId="0" applyFont="0" applyFill="0" applyBorder="0" applyAlignment="0" applyProtection="0"/>
    <xf numFmtId="171" fontId="1" fillId="0" borderId="0" applyFont="0" applyFill="0" applyBorder="0" applyAlignment="0" applyProtection="0"/>
    <xf numFmtId="184" fontId="1" fillId="0" borderId="0" applyFill="0" applyBorder="0" applyAlignment="0" applyProtection="0"/>
    <xf numFmtId="165" fontId="4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85" fontId="1" fillId="0" borderId="0" applyFont="0" applyFill="0" applyBorder="0" applyAlignment="0" applyProtection="0"/>
    <xf numFmtId="167" fontId="1" fillId="0" borderId="0" applyFont="0" applyFill="0" applyBorder="0" applyAlignment="0" applyProtection="0"/>
    <xf numFmtId="0" fontId="47" fillId="7" borderId="0" applyNumberFormat="0" applyBorder="0" applyAlignment="0" applyProtection="0"/>
    <xf numFmtId="0" fontId="47" fillId="11" borderId="0" applyNumberFormat="0" applyBorder="0" applyAlignment="0" applyProtection="0"/>
    <xf numFmtId="0" fontId="47" fillId="11" borderId="0" applyNumberFormat="0" applyBorder="0" applyAlignment="0" applyProtection="0"/>
    <xf numFmtId="0" fontId="2" fillId="0" borderId="0"/>
  </cellStyleXfs>
  <cellXfs count="586">
    <xf numFmtId="0" fontId="0" fillId="0" borderId="0" xfId="0"/>
    <xf numFmtId="0" fontId="5" fillId="0" borderId="0" xfId="0" applyFont="1"/>
    <xf numFmtId="0" fontId="8" fillId="0" borderId="12" xfId="0" applyFont="1" applyBorder="1" applyAlignment="1">
      <alignment horizontal="center" vertical="top" wrapText="1"/>
    </xf>
    <xf numFmtId="49" fontId="5" fillId="0" borderId="0" xfId="0" applyNumberFormat="1" applyFont="1"/>
    <xf numFmtId="49" fontId="8" fillId="0" borderId="12" xfId="0" applyNumberFormat="1" applyFont="1" applyBorder="1" applyAlignment="1">
      <alignment horizontal="center" vertical="top" wrapText="1"/>
    </xf>
    <xf numFmtId="0" fontId="7" fillId="0" borderId="0" xfId="0" applyFont="1"/>
    <xf numFmtId="0" fontId="12" fillId="0" borderId="0" xfId="0" applyFont="1"/>
    <xf numFmtId="0" fontId="5" fillId="0" borderId="0" xfId="852" applyNumberFormat="1" applyFont="1" applyFill="1" applyBorder="1" applyAlignment="1" applyProtection="1">
      <alignment vertical="top"/>
    </xf>
    <xf numFmtId="49" fontId="6" fillId="0" borderId="0" xfId="852" applyNumberFormat="1" applyFont="1" applyFill="1" applyBorder="1" applyAlignment="1" applyProtection="1">
      <alignment horizontal="center" vertical="top"/>
    </xf>
    <xf numFmtId="2" fontId="5" fillId="0" borderId="0" xfId="0" applyNumberFormat="1" applyFont="1"/>
    <xf numFmtId="168" fontId="5" fillId="0" borderId="0" xfId="0" applyNumberFormat="1" applyFont="1"/>
    <xf numFmtId="49" fontId="6" fillId="0" borderId="0" xfId="852" applyNumberFormat="1" applyFont="1" applyFill="1" applyBorder="1" applyAlignment="1" applyProtection="1">
      <alignment horizontal="left" vertical="top"/>
    </xf>
    <xf numFmtId="0" fontId="4" fillId="0" borderId="0" xfId="0" applyFont="1" applyAlignment="1">
      <alignment horizontal="center"/>
    </xf>
    <xf numFmtId="0" fontId="3" fillId="0" borderId="0" xfId="0" applyFont="1" applyAlignment="1">
      <alignment horizontal="center"/>
    </xf>
    <xf numFmtId="0" fontId="9" fillId="0" borderId="0" xfId="0" applyFont="1" applyAlignment="1">
      <alignment horizontal="right"/>
    </xf>
    <xf numFmtId="0" fontId="2" fillId="0" borderId="13" xfId="0" applyFont="1" applyBorder="1" applyAlignment="1">
      <alignment horizontal="right"/>
    </xf>
    <xf numFmtId="0" fontId="22" fillId="0" borderId="0" xfId="0" applyFont="1"/>
    <xf numFmtId="168" fontId="12" fillId="0" borderId="0" xfId="0" applyNumberFormat="1" applyFont="1"/>
    <xf numFmtId="2" fontId="0" fillId="0" borderId="0" xfId="0" applyNumberFormat="1"/>
    <xf numFmtId="0" fontId="30" fillId="0" borderId="0" xfId="0" applyFont="1" applyAlignment="1">
      <alignment horizontal="center"/>
    </xf>
    <xf numFmtId="49" fontId="12" fillId="0" borderId="12" xfId="0" applyNumberFormat="1" applyFont="1" applyFill="1" applyBorder="1" applyAlignment="1">
      <alignment vertical="top"/>
    </xf>
    <xf numFmtId="0" fontId="8" fillId="0" borderId="12" xfId="0" applyFont="1" applyFill="1" applyBorder="1" applyAlignment="1">
      <alignment wrapText="1"/>
    </xf>
    <xf numFmtId="0" fontId="8" fillId="0" borderId="12" xfId="852" applyNumberFormat="1" applyFont="1" applyFill="1" applyBorder="1" applyAlignment="1" applyProtection="1">
      <alignment vertical="top" wrapText="1"/>
    </xf>
    <xf numFmtId="2" fontId="23" fillId="0" borderId="12" xfId="0" applyNumberFormat="1" applyFont="1" applyBorder="1"/>
    <xf numFmtId="2" fontId="18" fillId="0" borderId="12" xfId="0" applyNumberFormat="1" applyFont="1" applyFill="1" applyBorder="1"/>
    <xf numFmtId="2" fontId="23" fillId="0" borderId="12" xfId="0" applyNumberFormat="1" applyFont="1" applyBorder="1" applyAlignment="1"/>
    <xf numFmtId="2" fontId="9" fillId="0" borderId="12" xfId="0" applyNumberFormat="1" applyFont="1" applyFill="1" applyBorder="1"/>
    <xf numFmtId="2" fontId="23" fillId="0" borderId="12" xfId="0" applyNumberFormat="1" applyFont="1" applyFill="1" applyBorder="1"/>
    <xf numFmtId="0" fontId="9" fillId="0" borderId="0" xfId="0" applyFont="1" applyFill="1"/>
    <xf numFmtId="168" fontId="24" fillId="0" borderId="0" xfId="0" applyNumberFormat="1" applyFont="1" applyFill="1" applyBorder="1" applyAlignment="1"/>
    <xf numFmtId="0" fontId="26" fillId="0" borderId="0" xfId="852" applyNumberFormat="1" applyFont="1" applyFill="1" applyBorder="1" applyAlignment="1" applyProtection="1">
      <alignment vertical="top" wrapText="1"/>
    </xf>
    <xf numFmtId="2" fontId="24" fillId="0" borderId="0" xfId="0" applyNumberFormat="1" applyFont="1" applyFill="1" applyBorder="1" applyAlignment="1">
      <alignment wrapText="1"/>
    </xf>
    <xf numFmtId="2" fontId="23" fillId="0" borderId="12" xfId="0" applyNumberFormat="1" applyFont="1" applyBorder="1" applyAlignment="1">
      <alignment horizontal="right" vertical="center"/>
    </xf>
    <xf numFmtId="0" fontId="33" fillId="0" borderId="0" xfId="0" applyFont="1" applyAlignment="1">
      <alignment horizontal="right"/>
    </xf>
    <xf numFmtId="2" fontId="9" fillId="0" borderId="0" xfId="0" applyNumberFormat="1" applyFont="1" applyAlignment="1">
      <alignment horizontal="right"/>
    </xf>
    <xf numFmtId="2" fontId="36" fillId="0" borderId="12" xfId="0" applyNumberFormat="1" applyFont="1" applyFill="1" applyBorder="1"/>
    <xf numFmtId="2" fontId="9" fillId="0" borderId="0" xfId="0" applyNumberFormat="1" applyFont="1" applyBorder="1" applyAlignment="1">
      <alignment horizontal="right"/>
    </xf>
    <xf numFmtId="2" fontId="17" fillId="0" borderId="12" xfId="0" applyNumberFormat="1" applyFont="1" applyFill="1" applyBorder="1" applyAlignment="1"/>
    <xf numFmtId="168" fontId="17" fillId="0" borderId="12" xfId="0" applyNumberFormat="1" applyFont="1" applyFill="1" applyBorder="1" applyAlignment="1"/>
    <xf numFmtId="2" fontId="17" fillId="0" borderId="12" xfId="0" applyNumberFormat="1" applyFont="1" applyFill="1" applyBorder="1" applyAlignment="1">
      <alignment wrapText="1"/>
    </xf>
    <xf numFmtId="2" fontId="38" fillId="0" borderId="12" xfId="0" applyNumberFormat="1" applyFont="1" applyFill="1" applyBorder="1" applyAlignment="1"/>
    <xf numFmtId="2" fontId="38" fillId="0" borderId="12" xfId="0" applyNumberFormat="1" applyFont="1" applyFill="1" applyBorder="1" applyAlignment="1">
      <alignment wrapText="1"/>
    </xf>
    <xf numFmtId="168" fontId="17" fillId="0" borderId="0" xfId="0" applyNumberFormat="1" applyFont="1" applyFill="1" applyBorder="1" applyAlignment="1"/>
    <xf numFmtId="0" fontId="17" fillId="0" borderId="0" xfId="0" applyFont="1" applyBorder="1"/>
    <xf numFmtId="0" fontId="7" fillId="0" borderId="12" xfId="0" applyFont="1" applyFill="1" applyBorder="1" applyAlignment="1">
      <alignment horizontal="center" wrapText="1"/>
    </xf>
    <xf numFmtId="0" fontId="7" fillId="0" borderId="12" xfId="0" applyFont="1" applyFill="1" applyBorder="1" applyAlignment="1">
      <alignment wrapText="1"/>
    </xf>
    <xf numFmtId="0" fontId="19" fillId="0" borderId="0" xfId="0" applyFont="1" applyFill="1" applyBorder="1"/>
    <xf numFmtId="0" fontId="5" fillId="0" borderId="0" xfId="0" applyFont="1" applyFill="1" applyBorder="1"/>
    <xf numFmtId="2" fontId="5" fillId="0" borderId="0" xfId="0" applyNumberFormat="1" applyFont="1" applyFill="1" applyBorder="1"/>
    <xf numFmtId="168" fontId="5" fillId="0" borderId="0" xfId="0" applyNumberFormat="1" applyFont="1" applyFill="1" applyBorder="1"/>
    <xf numFmtId="0" fontId="5" fillId="0" borderId="0" xfId="0" applyFont="1" applyFill="1" applyBorder="1" applyAlignment="1">
      <alignment horizontal="center"/>
    </xf>
    <xf numFmtId="169" fontId="7" fillId="0" borderId="0" xfId="0" applyNumberFormat="1" applyFont="1" applyFill="1" applyBorder="1" applyAlignment="1"/>
    <xf numFmtId="170" fontId="20" fillId="0" borderId="0" xfId="0" applyNumberFormat="1" applyFont="1" applyFill="1" applyBorder="1"/>
    <xf numFmtId="169" fontId="21" fillId="0" borderId="0" xfId="0" applyNumberFormat="1" applyFont="1" applyFill="1" applyBorder="1"/>
    <xf numFmtId="2" fontId="5" fillId="0" borderId="0" xfId="0" applyNumberFormat="1" applyFont="1" applyFill="1" applyBorder="1" applyAlignment="1">
      <alignment horizontal="center"/>
    </xf>
    <xf numFmtId="4" fontId="5" fillId="0" borderId="0" xfId="0" applyNumberFormat="1" applyFont="1" applyFill="1" applyBorder="1"/>
    <xf numFmtId="2" fontId="9" fillId="0" borderId="12" xfId="0" applyNumberFormat="1" applyFont="1" applyFill="1" applyBorder="1" applyAlignment="1"/>
    <xf numFmtId="49" fontId="12" fillId="0" borderId="12" xfId="0" applyNumberFormat="1" applyFont="1" applyFill="1" applyBorder="1" applyAlignment="1">
      <alignment horizontal="center" vertical="top"/>
    </xf>
    <xf numFmtId="2" fontId="23" fillId="0" borderId="12" xfId="0" applyNumberFormat="1" applyFont="1" applyFill="1" applyBorder="1" applyAlignment="1">
      <alignment horizontal="right" vertical="center"/>
    </xf>
    <xf numFmtId="2" fontId="23" fillId="0" borderId="12" xfId="0" applyNumberFormat="1" applyFont="1" applyFill="1" applyBorder="1" applyAlignment="1">
      <alignment horizontal="right"/>
    </xf>
    <xf numFmtId="49" fontId="7" fillId="0" borderId="12" xfId="0" applyNumberFormat="1" applyFont="1" applyFill="1" applyBorder="1" applyAlignment="1">
      <alignment horizontal="center" vertical="top"/>
    </xf>
    <xf numFmtId="168" fontId="5" fillId="0" borderId="0" xfId="0" applyNumberFormat="1" applyFont="1" applyFill="1"/>
    <xf numFmtId="49" fontId="12" fillId="0" borderId="12" xfId="0" applyNumberFormat="1" applyFont="1" applyFill="1" applyBorder="1" applyAlignment="1">
      <alignment horizontal="left" vertical="top"/>
    </xf>
    <xf numFmtId="49" fontId="8" fillId="0" borderId="12" xfId="0" applyNumberFormat="1" applyFont="1" applyFill="1" applyBorder="1" applyAlignment="1">
      <alignment horizontal="center" vertical="top" wrapText="1"/>
    </xf>
    <xf numFmtId="49" fontId="34" fillId="0" borderId="12" xfId="0" applyNumberFormat="1" applyFont="1" applyFill="1" applyBorder="1" applyAlignment="1">
      <alignment vertical="top"/>
    </xf>
    <xf numFmtId="49" fontId="15" fillId="0" borderId="12" xfId="0" applyNumberFormat="1" applyFont="1" applyFill="1" applyBorder="1" applyAlignment="1">
      <alignment horizontal="center"/>
    </xf>
    <xf numFmtId="49" fontId="12" fillId="0" borderId="14" xfId="0" applyNumberFormat="1" applyFont="1" applyFill="1" applyBorder="1" applyAlignment="1">
      <alignment vertical="top"/>
    </xf>
    <xf numFmtId="2" fontId="23" fillId="0" borderId="15" xfId="0" applyNumberFormat="1" applyFont="1" applyFill="1" applyBorder="1"/>
    <xf numFmtId="2" fontId="18" fillId="0" borderId="0" xfId="0" applyNumberFormat="1" applyFont="1" applyFill="1" applyBorder="1" applyAlignment="1">
      <alignment horizontal="left" indent="1"/>
    </xf>
    <xf numFmtId="2" fontId="7" fillId="0" borderId="0" xfId="0" applyNumberFormat="1" applyFont="1" applyAlignment="1">
      <alignment horizontal="center"/>
    </xf>
    <xf numFmtId="0" fontId="0" fillId="0" borderId="0" xfId="0" applyFill="1"/>
    <xf numFmtId="0" fontId="5" fillId="0" borderId="0" xfId="0" applyFont="1" applyBorder="1"/>
    <xf numFmtId="169" fontId="5" fillId="0" borderId="0" xfId="0" applyNumberFormat="1" applyFont="1" applyFill="1" applyBorder="1"/>
    <xf numFmtId="2" fontId="35" fillId="0" borderId="0" xfId="0" applyNumberFormat="1" applyFont="1" applyFill="1" applyBorder="1"/>
    <xf numFmtId="2" fontId="5" fillId="0" borderId="0" xfId="0" applyNumberFormat="1" applyFont="1" applyBorder="1"/>
    <xf numFmtId="1" fontId="5" fillId="0" borderId="0" xfId="0" applyNumberFormat="1" applyFont="1" applyFill="1" applyBorder="1"/>
    <xf numFmtId="2" fontId="9" fillId="0" borderId="0" xfId="0" applyNumberFormat="1" applyFont="1" applyFill="1" applyBorder="1"/>
    <xf numFmtId="0" fontId="5" fillId="0" borderId="16" xfId="852" applyNumberFormat="1" applyFont="1" applyFill="1" applyBorder="1" applyAlignment="1" applyProtection="1">
      <alignment vertical="center" wrapText="1"/>
    </xf>
    <xf numFmtId="1" fontId="5" fillId="0" borderId="0" xfId="0" applyNumberFormat="1" applyFont="1" applyBorder="1" applyAlignment="1">
      <alignment horizontal="right"/>
    </xf>
    <xf numFmtId="0" fontId="33" fillId="0" borderId="0" xfId="0" applyFont="1" applyBorder="1" applyAlignment="1">
      <alignment horizontal="right"/>
    </xf>
    <xf numFmtId="2" fontId="36" fillId="0" borderId="12" xfId="0" applyNumberFormat="1" applyFont="1" applyBorder="1" applyAlignment="1">
      <alignment horizontal="center" vertical="top" wrapText="1"/>
    </xf>
    <xf numFmtId="0" fontId="23" fillId="0" borderId="12" xfId="0" applyFont="1" applyFill="1" applyBorder="1" applyAlignment="1">
      <alignment horizontal="center" vertical="top" wrapText="1"/>
    </xf>
    <xf numFmtId="0" fontId="0" fillId="0" borderId="0" xfId="0" applyFill="1" applyBorder="1"/>
    <xf numFmtId="2" fontId="0" fillId="0" borderId="0" xfId="0" applyNumberFormat="1" applyFill="1" applyBorder="1"/>
    <xf numFmtId="0" fontId="17" fillId="0" borderId="0" xfId="0" applyFont="1"/>
    <xf numFmtId="0" fontId="17" fillId="0" borderId="0" xfId="0" applyFont="1" applyAlignment="1">
      <alignment horizontal="center" vertical="top"/>
    </xf>
    <xf numFmtId="0" fontId="17" fillId="0" borderId="0" xfId="0" applyFont="1" applyAlignment="1">
      <alignment horizontal="center"/>
    </xf>
    <xf numFmtId="3" fontId="17" fillId="0" borderId="0" xfId="0" applyNumberFormat="1" applyFont="1" applyAlignment="1">
      <alignment horizontal="right" vertical="top"/>
    </xf>
    <xf numFmtId="0" fontId="38" fillId="0" borderId="0" xfId="853" applyFont="1"/>
    <xf numFmtId="3" fontId="38" fillId="0" borderId="0" xfId="853" applyNumberFormat="1" applyFont="1" applyAlignment="1">
      <alignment horizontal="center" vertical="top"/>
    </xf>
    <xf numFmtId="0" fontId="38" fillId="0" borderId="0" xfId="853" applyFont="1" applyAlignment="1">
      <alignment vertical="top"/>
    </xf>
    <xf numFmtId="0" fontId="38" fillId="0" borderId="12" xfId="0" applyFont="1" applyBorder="1" applyAlignment="1">
      <alignment horizontal="center" vertical="top" wrapText="1"/>
    </xf>
    <xf numFmtId="3" fontId="38" fillId="0" borderId="12" xfId="0" applyNumberFormat="1" applyFont="1" applyBorder="1" applyAlignment="1">
      <alignment horizontal="center" vertical="top" wrapText="1"/>
    </xf>
    <xf numFmtId="0" fontId="17" fillId="0" borderId="12" xfId="0" applyFont="1" applyBorder="1" applyAlignment="1">
      <alignment horizontal="center" vertical="top"/>
    </xf>
    <xf numFmtId="0" fontId="17" fillId="0" borderId="12" xfId="0" applyFont="1" applyBorder="1" applyAlignment="1">
      <alignment horizontal="center"/>
    </xf>
    <xf numFmtId="3" fontId="17" fillId="0" borderId="12" xfId="0" applyNumberFormat="1" applyFont="1" applyBorder="1" applyAlignment="1">
      <alignment horizontal="center" vertical="top"/>
    </xf>
    <xf numFmtId="0" fontId="2" fillId="0" borderId="12" xfId="0" applyFont="1" applyBorder="1" applyAlignment="1">
      <alignment horizontal="center" vertical="top"/>
    </xf>
    <xf numFmtId="0" fontId="60" fillId="0" borderId="12" xfId="0" applyFont="1" applyBorder="1" applyAlignment="1">
      <alignment horizontal="center" vertical="top"/>
    </xf>
    <xf numFmtId="0" fontId="17" fillId="0" borderId="0" xfId="0" applyFont="1" applyBorder="1" applyAlignment="1">
      <alignment horizontal="center" vertical="top"/>
    </xf>
    <xf numFmtId="0" fontId="17" fillId="0" borderId="0" xfId="0" applyFont="1" applyBorder="1" applyAlignment="1">
      <alignment horizontal="center"/>
    </xf>
    <xf numFmtId="3" fontId="17" fillId="0" borderId="0" xfId="0" applyNumberFormat="1" applyFont="1" applyBorder="1" applyAlignment="1">
      <alignment horizontal="center" vertical="top"/>
    </xf>
    <xf numFmtId="3" fontId="17" fillId="0" borderId="0" xfId="0" applyNumberFormat="1" applyFont="1" applyBorder="1" applyAlignment="1">
      <alignment horizontal="right" vertical="top"/>
    </xf>
    <xf numFmtId="0" fontId="17" fillId="0" borderId="12" xfId="0" applyFont="1" applyBorder="1" applyAlignment="1">
      <alignment horizontal="center" vertical="center"/>
    </xf>
    <xf numFmtId="0" fontId="61" fillId="0" borderId="12" xfId="0" applyFont="1" applyFill="1" applyBorder="1" applyAlignment="1">
      <alignment horizontal="center" vertical="top"/>
    </xf>
    <xf numFmtId="0" fontId="61" fillId="0" borderId="12" xfId="0" applyFont="1" applyFill="1" applyBorder="1" applyAlignment="1">
      <alignment horizontal="center"/>
    </xf>
    <xf numFmtId="0" fontId="38" fillId="0" borderId="12" xfId="0" applyFont="1" applyFill="1" applyBorder="1"/>
    <xf numFmtId="0" fontId="61" fillId="0" borderId="0" xfId="0" applyFont="1" applyFill="1"/>
    <xf numFmtId="3" fontId="61" fillId="0" borderId="0" xfId="0" applyNumberFormat="1" applyFont="1" applyFill="1"/>
    <xf numFmtId="0" fontId="61" fillId="0" borderId="12" xfId="0" applyFont="1" applyBorder="1"/>
    <xf numFmtId="0" fontId="62" fillId="0" borderId="0" xfId="0" applyFont="1"/>
    <xf numFmtId="0" fontId="62" fillId="0" borderId="0" xfId="0" applyFont="1" applyFill="1"/>
    <xf numFmtId="0" fontId="62" fillId="0" borderId="0" xfId="0" applyFont="1" applyFill="1" applyAlignment="1">
      <alignment horizontal="left"/>
    </xf>
    <xf numFmtId="0" fontId="63" fillId="0" borderId="0" xfId="0" applyFont="1" applyFill="1" applyAlignment="1">
      <alignment horizontal="left"/>
    </xf>
    <xf numFmtId="49" fontId="64" fillId="0" borderId="0" xfId="852" applyNumberFormat="1" applyFont="1" applyFill="1" applyBorder="1" applyAlignment="1" applyProtection="1">
      <alignment horizontal="center" vertical="top"/>
    </xf>
    <xf numFmtId="0" fontId="65" fillId="0" borderId="0" xfId="0" applyFont="1"/>
    <xf numFmtId="4" fontId="62" fillId="0" borderId="0" xfId="0" applyNumberFormat="1" applyFont="1"/>
    <xf numFmtId="0" fontId="32" fillId="0" borderId="0" xfId="0" applyFont="1" applyFill="1" applyBorder="1" applyAlignment="1">
      <alignment horizontal="center" vertical="center" wrapText="1"/>
    </xf>
    <xf numFmtId="0" fontId="7" fillId="0" borderId="12" xfId="0" applyFont="1" applyFill="1" applyBorder="1" applyAlignment="1">
      <alignment horizontal="left" wrapText="1"/>
    </xf>
    <xf numFmtId="0" fontId="9" fillId="0" borderId="0" xfId="0" applyFont="1" applyFill="1" applyAlignment="1"/>
    <xf numFmtId="0" fontId="33" fillId="0" borderId="13" xfId="0" applyFont="1" applyFill="1" applyBorder="1" applyAlignment="1">
      <alignment horizontal="right"/>
    </xf>
    <xf numFmtId="0" fontId="39" fillId="0" borderId="0" xfId="0" applyFont="1"/>
    <xf numFmtId="0" fontId="39" fillId="0" borderId="0" xfId="0" applyFont="1" applyAlignment="1"/>
    <xf numFmtId="0" fontId="9" fillId="0" borderId="0" xfId="0" applyFont="1" applyFill="1" applyAlignment="1">
      <alignment horizontal="left"/>
    </xf>
    <xf numFmtId="0" fontId="38" fillId="0" borderId="12" xfId="0" applyFont="1" applyFill="1" applyBorder="1" applyAlignment="1">
      <alignment horizontal="left" vertical="center" wrapText="1"/>
    </xf>
    <xf numFmtId="0" fontId="17" fillId="0" borderId="12" xfId="0" applyFont="1" applyFill="1" applyBorder="1" applyAlignment="1">
      <alignment horizontal="left" vertical="center" wrapText="1"/>
    </xf>
    <xf numFmtId="0" fontId="66" fillId="0" borderId="12" xfId="0" applyFont="1" applyFill="1" applyBorder="1" applyAlignment="1">
      <alignment vertical="center"/>
    </xf>
    <xf numFmtId="0" fontId="66" fillId="0" borderId="12" xfId="0" applyFont="1" applyFill="1" applyBorder="1" applyAlignment="1">
      <alignment vertical="center" wrapText="1"/>
    </xf>
    <xf numFmtId="0" fontId="39" fillId="0" borderId="12" xfId="0" applyFont="1" applyFill="1" applyBorder="1" applyAlignment="1">
      <alignment vertical="center" wrapText="1"/>
    </xf>
    <xf numFmtId="0" fontId="17" fillId="0" borderId="12" xfId="0" applyFont="1" applyFill="1" applyBorder="1"/>
    <xf numFmtId="0" fontId="17" fillId="0" borderId="12" xfId="0" applyFont="1" applyFill="1" applyBorder="1" applyAlignment="1">
      <alignment wrapText="1"/>
    </xf>
    <xf numFmtId="0" fontId="2" fillId="0" borderId="0" xfId="0" applyFont="1" applyFill="1"/>
    <xf numFmtId="0" fontId="67" fillId="0" borderId="0" xfId="0" applyFont="1" applyFill="1" applyAlignment="1"/>
    <xf numFmtId="0" fontId="2" fillId="0" borderId="0" xfId="0" applyFont="1"/>
    <xf numFmtId="0" fontId="60" fillId="0" borderId="0" xfId="0" applyFont="1"/>
    <xf numFmtId="0" fontId="2" fillId="0" borderId="0" xfId="0" applyFont="1" applyFill="1" applyBorder="1"/>
    <xf numFmtId="2" fontId="2" fillId="0" borderId="0" xfId="0" applyNumberFormat="1" applyFont="1"/>
    <xf numFmtId="0" fontId="5" fillId="0" borderId="0" xfId="0" applyFont="1" applyFill="1"/>
    <xf numFmtId="0" fontId="9" fillId="0" borderId="0" xfId="0" applyFont="1" applyFill="1" applyAlignment="1">
      <alignment horizontal="right"/>
    </xf>
    <xf numFmtId="2" fontId="9" fillId="0" borderId="0" xfId="0" applyNumberFormat="1" applyFont="1" applyFill="1" applyAlignment="1">
      <alignment horizontal="right"/>
    </xf>
    <xf numFmtId="0" fontId="9" fillId="0" borderId="0" xfId="0" applyFont="1" applyFill="1" applyBorder="1" applyAlignment="1">
      <alignment horizontal="right"/>
    </xf>
    <xf numFmtId="2" fontId="9" fillId="0" borderId="0" xfId="0" applyNumberFormat="1" applyFont="1" applyFill="1" applyBorder="1" applyAlignment="1">
      <alignment horizontal="right"/>
    </xf>
    <xf numFmtId="2" fontId="23" fillId="0" borderId="0" xfId="0" applyNumberFormat="1" applyFont="1" applyFill="1" applyBorder="1"/>
    <xf numFmtId="0" fontId="3" fillId="0" borderId="0" xfId="0" applyFont="1" applyFill="1" applyAlignment="1">
      <alignment horizontal="center"/>
    </xf>
    <xf numFmtId="0" fontId="31" fillId="0" borderId="0" xfId="0" applyFont="1" applyFill="1" applyAlignment="1">
      <alignment horizontal="center"/>
    </xf>
    <xf numFmtId="0" fontId="9" fillId="0" borderId="0" xfId="0" applyFont="1" applyFill="1" applyAlignment="1">
      <alignment horizontal="center"/>
    </xf>
    <xf numFmtId="4" fontId="16" fillId="0" borderId="0" xfId="0" applyNumberFormat="1" applyFont="1" applyFill="1" applyBorder="1" applyAlignment="1">
      <alignment vertical="center" wrapText="1"/>
    </xf>
    <xf numFmtId="0" fontId="58" fillId="0" borderId="0" xfId="0" applyFont="1" applyFill="1" applyAlignment="1">
      <alignment horizontal="center" vertical="center"/>
    </xf>
    <xf numFmtId="3" fontId="17" fillId="0" borderId="0" xfId="0" applyNumberFormat="1" applyFont="1" applyFill="1" applyAlignment="1">
      <alignment vertical="top" wrapText="1"/>
    </xf>
    <xf numFmtId="1" fontId="38" fillId="0" borderId="13" xfId="853" applyNumberFormat="1" applyFont="1" applyFill="1" applyBorder="1" applyAlignment="1">
      <alignment horizontal="center" vertical="top"/>
    </xf>
    <xf numFmtId="4" fontId="17" fillId="0" borderId="0" xfId="0" applyNumberFormat="1" applyFont="1"/>
    <xf numFmtId="0" fontId="17" fillId="0" borderId="12" xfId="0" applyFont="1" applyFill="1" applyBorder="1" applyAlignment="1">
      <alignment horizontal="center" vertical="top"/>
    </xf>
    <xf numFmtId="0" fontId="2" fillId="0" borderId="12" xfId="0" applyFont="1" applyFill="1" applyBorder="1" applyAlignment="1">
      <alignment horizontal="center" vertical="top"/>
    </xf>
    <xf numFmtId="3" fontId="2" fillId="0" borderId="12" xfId="0" applyNumberFormat="1" applyFont="1" applyFill="1" applyBorder="1" applyAlignment="1">
      <alignment horizontal="right" vertical="top"/>
    </xf>
    <xf numFmtId="0" fontId="71" fillId="0" borderId="0" xfId="0" applyFont="1" applyAlignment="1"/>
    <xf numFmtId="0" fontId="71" fillId="0" borderId="0" xfId="0" applyFont="1" applyFill="1" applyAlignment="1"/>
    <xf numFmtId="0" fontId="71" fillId="0" borderId="0" xfId="0" applyFont="1" applyFill="1" applyAlignment="1">
      <alignment horizontal="right"/>
    </xf>
    <xf numFmtId="0" fontId="72" fillId="0" borderId="0" xfId="0" applyFont="1" applyAlignment="1">
      <alignment horizontal="center"/>
    </xf>
    <xf numFmtId="0" fontId="33" fillId="0" borderId="0" xfId="0" applyFont="1" applyAlignment="1">
      <alignment horizontal="left"/>
    </xf>
    <xf numFmtId="0" fontId="75" fillId="0" borderId="0" xfId="0" applyFont="1"/>
    <xf numFmtId="0" fontId="66" fillId="0" borderId="12" xfId="0" quotePrefix="1" applyFont="1" applyBorder="1" applyAlignment="1">
      <alignment horizontal="left" vertical="top" wrapText="1"/>
    </xf>
    <xf numFmtId="0" fontId="66" fillId="0" borderId="12" xfId="0" applyFont="1" applyBorder="1" applyAlignment="1">
      <alignment horizontal="left" vertical="top" wrapText="1"/>
    </xf>
    <xf numFmtId="0" fontId="39" fillId="0" borderId="12" xfId="0" applyFont="1" applyBorder="1" applyAlignment="1">
      <alignment horizontal="left" vertical="top" wrapText="1"/>
    </xf>
    <xf numFmtId="0" fontId="39" fillId="0" borderId="12" xfId="854" applyFont="1" applyBorder="1" applyAlignment="1">
      <alignment horizontal="left" vertical="top" wrapText="1"/>
    </xf>
    <xf numFmtId="0" fontId="39" fillId="0" borderId="12" xfId="858" applyFont="1" applyBorder="1" applyAlignment="1">
      <alignment horizontal="left" vertical="top"/>
    </xf>
    <xf numFmtId="0" fontId="66" fillId="0" borderId="12" xfId="854" applyFont="1" applyBorder="1" applyAlignment="1">
      <alignment horizontal="left" vertical="top" wrapText="1"/>
    </xf>
    <xf numFmtId="0" fontId="39" fillId="0" borderId="12" xfId="854" quotePrefix="1" applyFont="1" applyBorder="1" applyAlignment="1">
      <alignment horizontal="left" vertical="top" wrapText="1"/>
    </xf>
    <xf numFmtId="0" fontId="66" fillId="49" borderId="12" xfId="0" applyFont="1" applyFill="1" applyBorder="1" applyAlignment="1">
      <alignment vertical="center" wrapText="1"/>
    </xf>
    <xf numFmtId="0" fontId="39" fillId="0" borderId="12" xfId="0" applyFont="1" applyBorder="1" applyAlignment="1">
      <alignment horizontal="center" vertical="center" wrapText="1"/>
    </xf>
    <xf numFmtId="0" fontId="39" fillId="50" borderId="12" xfId="0" applyFont="1" applyFill="1" applyBorder="1" applyAlignment="1">
      <alignment horizontal="center" vertical="center" wrapText="1"/>
    </xf>
    <xf numFmtId="4" fontId="39" fillId="0" borderId="12" xfId="854" applyNumberFormat="1" applyFont="1" applyFill="1" applyBorder="1" applyAlignment="1">
      <alignment vertical="center"/>
    </xf>
    <xf numFmtId="4" fontId="66" fillId="0" borderId="12" xfId="854" applyNumberFormat="1" applyFont="1" applyFill="1" applyBorder="1" applyAlignment="1">
      <alignment vertical="center"/>
    </xf>
    <xf numFmtId="0" fontId="66" fillId="0" borderId="0" xfId="0" applyFont="1" applyFill="1" applyBorder="1" applyAlignment="1">
      <alignment horizontal="center" vertical="center"/>
    </xf>
    <xf numFmtId="0" fontId="66" fillId="0" borderId="0" xfId="0" applyFont="1" applyFill="1" applyBorder="1" applyAlignment="1">
      <alignment vertical="center" wrapText="1"/>
    </xf>
    <xf numFmtId="4" fontId="66" fillId="0" borderId="0" xfId="0" applyNumberFormat="1" applyFont="1" applyFill="1" applyBorder="1" applyAlignment="1">
      <alignment horizontal="right" vertical="center"/>
    </xf>
    <xf numFmtId="4" fontId="66" fillId="0" borderId="0" xfId="0" applyNumberFormat="1" applyFont="1" applyFill="1" applyBorder="1" applyAlignment="1">
      <alignment vertical="center"/>
    </xf>
    <xf numFmtId="49" fontId="38" fillId="0" borderId="12" xfId="0" applyNumberFormat="1" applyFont="1" applyFill="1" applyBorder="1" applyAlignment="1">
      <alignment horizontal="center"/>
    </xf>
    <xf numFmtId="49" fontId="17" fillId="0" borderId="12" xfId="0" applyNumberFormat="1" applyFont="1" applyFill="1" applyBorder="1" applyAlignment="1">
      <alignment horizontal="center"/>
    </xf>
    <xf numFmtId="0" fontId="38" fillId="0" borderId="12" xfId="0" applyFont="1" applyFill="1" applyBorder="1" applyAlignment="1">
      <alignment horizontal="center" wrapText="1"/>
    </xf>
    <xf numFmtId="0" fontId="39" fillId="0" borderId="12" xfId="0" applyFont="1" applyFill="1" applyBorder="1" applyAlignment="1">
      <alignment wrapText="1"/>
    </xf>
    <xf numFmtId="49" fontId="38" fillId="0" borderId="12" xfId="0" applyNumberFormat="1" applyFont="1" applyFill="1" applyBorder="1" applyAlignment="1">
      <alignment horizontal="center" vertical="top"/>
    </xf>
    <xf numFmtId="2" fontId="17" fillId="0" borderId="12" xfId="0" applyNumberFormat="1" applyFont="1" applyFill="1" applyBorder="1"/>
    <xf numFmtId="0" fontId="17" fillId="0" borderId="0" xfId="0" applyFont="1" applyFill="1" applyBorder="1"/>
    <xf numFmtId="49" fontId="24" fillId="0" borderId="0" xfId="0" applyNumberFormat="1" applyFont="1" applyFill="1" applyBorder="1" applyAlignment="1">
      <alignment horizontal="right"/>
    </xf>
    <xf numFmtId="0" fontId="27" fillId="0" borderId="0" xfId="0" applyFont="1" applyFill="1" applyBorder="1"/>
    <xf numFmtId="2" fontId="24" fillId="0" borderId="0" xfId="0" applyNumberFormat="1" applyFont="1" applyFill="1" applyBorder="1" applyAlignment="1"/>
    <xf numFmtId="168" fontId="27" fillId="0" borderId="0" xfId="0" applyNumberFormat="1" applyFont="1" applyFill="1" applyBorder="1" applyAlignment="1"/>
    <xf numFmtId="0" fontId="0" fillId="0" borderId="0" xfId="0" applyFill="1" applyBorder="1" applyAlignment="1">
      <alignment horizontal="center"/>
    </xf>
    <xf numFmtId="49" fontId="25" fillId="0" borderId="0" xfId="0" applyNumberFormat="1" applyFont="1" applyFill="1" applyBorder="1" applyAlignment="1">
      <alignment horizontal="right"/>
    </xf>
    <xf numFmtId="0" fontId="25" fillId="0" borderId="0" xfId="0" applyFont="1" applyFill="1" applyBorder="1" applyAlignment="1">
      <alignment wrapText="1"/>
    </xf>
    <xf numFmtId="2" fontId="16" fillId="0" borderId="0" xfId="0" applyNumberFormat="1" applyFont="1" applyFill="1" applyBorder="1" applyAlignment="1">
      <alignment horizontal="center"/>
    </xf>
    <xf numFmtId="0" fontId="26" fillId="0" borderId="0" xfId="0" applyFont="1" applyFill="1" applyBorder="1" applyAlignment="1">
      <alignment horizontal="center"/>
    </xf>
    <xf numFmtId="0" fontId="24" fillId="0" borderId="0" xfId="0" applyFont="1" applyFill="1" applyBorder="1" applyAlignment="1">
      <alignment vertical="top" wrapText="1"/>
    </xf>
    <xf numFmtId="0" fontId="24" fillId="0" borderId="0" xfId="0" applyFont="1" applyFill="1" applyBorder="1" applyAlignment="1">
      <alignment wrapText="1"/>
    </xf>
    <xf numFmtId="49" fontId="26" fillId="0" borderId="0" xfId="0" applyNumberFormat="1" applyFont="1" applyFill="1" applyBorder="1" applyAlignment="1">
      <alignment vertical="top"/>
    </xf>
    <xf numFmtId="2" fontId="16" fillId="0" borderId="0" xfId="0" applyNumberFormat="1" applyFont="1" applyFill="1" applyBorder="1"/>
    <xf numFmtId="0" fontId="28" fillId="0" borderId="0" xfId="0" applyFont="1" applyFill="1" applyBorder="1" applyAlignment="1">
      <alignment wrapText="1"/>
    </xf>
    <xf numFmtId="0" fontId="0" fillId="0" borderId="0" xfId="0" applyFill="1" applyBorder="1" applyAlignment="1">
      <alignment wrapText="1"/>
    </xf>
    <xf numFmtId="2" fontId="27" fillId="0" borderId="0" xfId="0" applyNumberFormat="1" applyFont="1" applyFill="1" applyBorder="1"/>
    <xf numFmtId="0" fontId="17" fillId="0" borderId="12" xfId="0" applyFont="1" applyFill="1" applyBorder="1" applyAlignment="1">
      <alignment vertical="center" wrapText="1"/>
    </xf>
    <xf numFmtId="49" fontId="7" fillId="0" borderId="12" xfId="0" applyNumberFormat="1" applyFont="1" applyFill="1" applyBorder="1" applyAlignment="1">
      <alignment horizontal="center" vertical="center"/>
    </xf>
    <xf numFmtId="0" fontId="8" fillId="0" borderId="12" xfId="0" applyFont="1" applyFill="1" applyBorder="1" applyAlignment="1">
      <alignment horizontal="justify" wrapText="1"/>
    </xf>
    <xf numFmtId="0" fontId="8" fillId="0" borderId="12" xfId="0" applyFont="1" applyFill="1" applyBorder="1" applyAlignment="1">
      <alignment vertical="center" wrapText="1"/>
    </xf>
    <xf numFmtId="0" fontId="38" fillId="0" borderId="12" xfId="0" quotePrefix="1" applyFont="1" applyBorder="1" applyAlignment="1">
      <alignment horizontal="left" vertical="top" wrapText="1"/>
    </xf>
    <xf numFmtId="0" fontId="17" fillId="0" borderId="12" xfId="857" quotePrefix="1" applyFont="1" applyBorder="1" applyAlignment="1">
      <alignment horizontal="left" vertical="top" wrapText="1"/>
    </xf>
    <xf numFmtId="0" fontId="38" fillId="0" borderId="12" xfId="857" quotePrefix="1" applyFont="1" applyBorder="1" applyAlignment="1">
      <alignment horizontal="left" vertical="top" wrapText="1"/>
    </xf>
    <xf numFmtId="0" fontId="17" fillId="0" borderId="12" xfId="857" applyFont="1" applyBorder="1" applyAlignment="1">
      <alignment horizontal="left" vertical="top" wrapText="1"/>
    </xf>
    <xf numFmtId="0" fontId="67" fillId="0" borderId="0" xfId="852" applyNumberFormat="1" applyFont="1" applyFill="1" applyBorder="1" applyAlignment="1" applyProtection="1">
      <alignment horizontal="right" vertical="top"/>
    </xf>
    <xf numFmtId="0" fontId="17" fillId="0" borderId="12" xfId="0" applyFont="1" applyBorder="1" applyAlignment="1">
      <alignment horizontal="center" vertical="center" wrapText="1"/>
    </xf>
    <xf numFmtId="0" fontId="12" fillId="0" borderId="12" xfId="0" applyFont="1" applyFill="1" applyBorder="1" applyAlignment="1">
      <alignment horizontal="left"/>
    </xf>
    <xf numFmtId="3" fontId="17" fillId="0" borderId="0" xfId="0" applyNumberFormat="1" applyFont="1"/>
    <xf numFmtId="0" fontId="67" fillId="0" borderId="0" xfId="0" applyFont="1"/>
    <xf numFmtId="0" fontId="67" fillId="0" borderId="0" xfId="0" applyFont="1" applyAlignment="1">
      <alignment horizontal="left"/>
    </xf>
    <xf numFmtId="0" fontId="67" fillId="0" borderId="0" xfId="0" applyFont="1" applyFill="1" applyAlignment="1">
      <alignment horizontal="left"/>
    </xf>
    <xf numFmtId="0" fontId="67" fillId="0" borderId="0" xfId="852" applyNumberFormat="1" applyFont="1" applyFill="1" applyBorder="1" applyAlignment="1" applyProtection="1">
      <alignment vertical="top"/>
    </xf>
    <xf numFmtId="0" fontId="67" fillId="0" borderId="0" xfId="0" applyFont="1" applyBorder="1" applyAlignment="1">
      <alignment vertical="center" wrapText="1"/>
    </xf>
    <xf numFmtId="0" fontId="67" fillId="0" borderId="0" xfId="0" applyFont="1" applyBorder="1" applyAlignment="1">
      <alignment horizontal="left" vertical="center" wrapText="1"/>
    </xf>
    <xf numFmtId="0" fontId="67" fillId="0" borderId="0" xfId="0" applyFont="1" applyBorder="1" applyAlignment="1">
      <alignment horizontal="right" vertical="center" wrapText="1"/>
    </xf>
    <xf numFmtId="0" fontId="27" fillId="0" borderId="0" xfId="0" applyFont="1" applyAlignment="1">
      <alignment horizontal="center" wrapText="1"/>
    </xf>
    <xf numFmtId="0" fontId="67" fillId="0" borderId="13" xfId="0" applyFont="1" applyBorder="1" applyAlignment="1">
      <alignment horizontal="right"/>
    </xf>
    <xf numFmtId="0" fontId="67" fillId="0" borderId="0" xfId="0" applyFont="1" applyFill="1" applyBorder="1" applyAlignment="1">
      <alignment horizontal="right"/>
    </xf>
    <xf numFmtId="0" fontId="67" fillId="0" borderId="0" xfId="0" applyFont="1" applyAlignment="1">
      <alignment horizontal="right"/>
    </xf>
    <xf numFmtId="0" fontId="77" fillId="0" borderId="0" xfId="0" applyFont="1" applyBorder="1" applyAlignment="1">
      <alignment horizontal="right"/>
    </xf>
    <xf numFmtId="0" fontId="2" fillId="0" borderId="0" xfId="0" applyFont="1" applyAlignment="1">
      <alignment horizontal="center"/>
    </xf>
    <xf numFmtId="0" fontId="17" fillId="0" borderId="12" xfId="0" applyFont="1" applyBorder="1" applyAlignment="1">
      <alignment horizontal="center" wrapText="1"/>
    </xf>
    <xf numFmtId="49" fontId="17" fillId="0" borderId="0" xfId="852" applyNumberFormat="1" applyFont="1" applyFill="1" applyBorder="1" applyAlignment="1" applyProtection="1">
      <alignment horizontal="left" vertical="top"/>
    </xf>
    <xf numFmtId="0" fontId="62" fillId="0" borderId="0" xfId="0" applyFont="1" applyBorder="1"/>
    <xf numFmtId="4" fontId="79" fillId="0" borderId="0" xfId="0" applyNumberFormat="1" applyFont="1" applyBorder="1" applyAlignment="1" applyProtection="1">
      <alignment horizontal="right" vertical="top" wrapText="1"/>
    </xf>
    <xf numFmtId="4" fontId="80" fillId="0" borderId="0" xfId="0" applyNumberFormat="1" applyFont="1" applyBorder="1" applyAlignment="1" applyProtection="1">
      <alignment horizontal="right" vertical="top" wrapText="1"/>
    </xf>
    <xf numFmtId="4" fontId="79" fillId="0" borderId="0" xfId="0" applyNumberFormat="1" applyFont="1" applyBorder="1" applyAlignment="1" applyProtection="1">
      <alignment horizontal="right" vertical="center" wrapText="1"/>
    </xf>
    <xf numFmtId="49" fontId="5" fillId="0" borderId="12" xfId="0" applyNumberFormat="1" applyFont="1" applyFill="1" applyBorder="1" applyAlignment="1">
      <alignment horizontal="center" vertical="top"/>
    </xf>
    <xf numFmtId="0" fontId="40" fillId="0" borderId="12" xfId="0" applyFont="1" applyFill="1" applyBorder="1" applyAlignment="1">
      <alignment wrapText="1"/>
    </xf>
    <xf numFmtId="0" fontId="12" fillId="0" borderId="0" xfId="0" applyFont="1" applyBorder="1"/>
    <xf numFmtId="0" fontId="7" fillId="0" borderId="0" xfId="0" applyFont="1" applyBorder="1"/>
    <xf numFmtId="4" fontId="17" fillId="0" borderId="12" xfId="0" applyNumberFormat="1" applyFont="1" applyFill="1" applyBorder="1" applyAlignment="1">
      <alignment horizontal="right" vertical="top"/>
    </xf>
    <xf numFmtId="4" fontId="2" fillId="0" borderId="12" xfId="0" applyNumberFormat="1" applyFont="1" applyFill="1" applyBorder="1" applyAlignment="1">
      <alignment horizontal="right" vertical="top"/>
    </xf>
    <xf numFmtId="4" fontId="38" fillId="0" borderId="12" xfId="0" applyNumberFormat="1" applyFont="1" applyFill="1" applyBorder="1" applyAlignment="1">
      <alignment horizontal="right" vertical="top"/>
    </xf>
    <xf numFmtId="4" fontId="2" fillId="0" borderId="12" xfId="0" applyNumberFormat="1" applyFont="1" applyBorder="1" applyAlignment="1">
      <alignment horizontal="right" vertical="top"/>
    </xf>
    <xf numFmtId="2" fontId="17" fillId="0" borderId="12" xfId="0" applyNumberFormat="1" applyFont="1" applyBorder="1" applyAlignment="1">
      <alignment horizontal="right"/>
    </xf>
    <xf numFmtId="0" fontId="78" fillId="0" borderId="12" xfId="852" applyNumberFormat="1" applyFont="1" applyFill="1" applyBorder="1" applyAlignment="1" applyProtection="1">
      <alignment vertical="top" wrapText="1"/>
    </xf>
    <xf numFmtId="49" fontId="17" fillId="0" borderId="12" xfId="0" applyNumberFormat="1" applyFont="1" applyFill="1" applyBorder="1" applyAlignment="1">
      <alignment horizontal="center" vertical="center"/>
    </xf>
    <xf numFmtId="49" fontId="17" fillId="0" borderId="17" xfId="0" applyNumberFormat="1" applyFont="1" applyFill="1" applyBorder="1" applyAlignment="1">
      <alignment horizontal="center" vertical="center"/>
    </xf>
    <xf numFmtId="49" fontId="17" fillId="0" borderId="16" xfId="0" applyNumberFormat="1" applyFont="1" applyFill="1" applyBorder="1" applyAlignment="1">
      <alignment horizontal="center" vertical="center"/>
    </xf>
    <xf numFmtId="0" fontId="17" fillId="0" borderId="12" xfId="0" applyFont="1" applyFill="1" applyBorder="1" applyAlignment="1">
      <alignment horizontal="center" vertical="center"/>
    </xf>
    <xf numFmtId="49" fontId="8" fillId="0" borderId="12" xfId="0" applyNumberFormat="1" applyFont="1" applyFill="1" applyBorder="1" applyAlignment="1">
      <alignment horizontal="center" vertical="center" wrapText="1"/>
    </xf>
    <xf numFmtId="49" fontId="38" fillId="0" borderId="12" xfId="0" applyNumberFormat="1" applyFont="1" applyFill="1" applyBorder="1" applyAlignment="1">
      <alignment horizontal="center" vertical="center"/>
    </xf>
    <xf numFmtId="49" fontId="37" fillId="0" borderId="12" xfId="0" applyNumberFormat="1" applyFont="1" applyFill="1" applyBorder="1" applyAlignment="1">
      <alignment horizontal="center" vertical="center"/>
    </xf>
    <xf numFmtId="4" fontId="71" fillId="0" borderId="0" xfId="0" applyNumberFormat="1" applyFont="1" applyAlignment="1"/>
    <xf numFmtId="3" fontId="81" fillId="0" borderId="0" xfId="0" applyNumberFormat="1" applyFont="1" applyFill="1" applyBorder="1" applyAlignment="1" applyProtection="1">
      <alignment vertical="center"/>
    </xf>
    <xf numFmtId="0" fontId="39" fillId="0" borderId="18" xfId="0" applyFont="1" applyBorder="1" applyAlignment="1">
      <alignment horizontal="center" vertical="center" wrapText="1"/>
    </xf>
    <xf numFmtId="0" fontId="39" fillId="0" borderId="19" xfId="0" applyFont="1" applyBorder="1" applyAlignment="1">
      <alignment horizontal="center" vertical="center" wrapText="1"/>
    </xf>
    <xf numFmtId="0" fontId="39" fillId="50" borderId="19" xfId="0" applyFont="1" applyFill="1" applyBorder="1" applyAlignment="1">
      <alignment horizontal="center" vertical="center" wrapText="1"/>
    </xf>
    <xf numFmtId="0" fontId="66" fillId="0" borderId="18" xfId="0" applyFont="1" applyBorder="1" applyAlignment="1">
      <alignment horizontal="center" vertical="center"/>
    </xf>
    <xf numFmtId="0" fontId="39" fillId="0" borderId="18" xfId="0" applyFont="1" applyBorder="1" applyAlignment="1">
      <alignment horizontal="center" vertical="center"/>
    </xf>
    <xf numFmtId="0" fontId="38" fillId="0" borderId="18" xfId="0" applyFont="1" applyBorder="1" applyAlignment="1">
      <alignment horizontal="center" vertical="center"/>
    </xf>
    <xf numFmtId="0" fontId="17" fillId="0" borderId="18" xfId="0" applyFont="1" applyBorder="1" applyAlignment="1">
      <alignment horizontal="center" vertical="center"/>
    </xf>
    <xf numFmtId="0" fontId="39" fillId="0" borderId="18" xfId="854" applyFont="1" applyBorder="1" applyAlignment="1">
      <alignment horizontal="center" vertical="center"/>
    </xf>
    <xf numFmtId="4" fontId="39" fillId="0" borderId="19" xfId="854" applyNumberFormat="1" applyFont="1" applyFill="1" applyBorder="1" applyAlignment="1">
      <alignment vertical="center"/>
    </xf>
    <xf numFmtId="0" fontId="39" fillId="0" borderId="18" xfId="858" applyFont="1" applyBorder="1" applyAlignment="1">
      <alignment horizontal="center" vertical="center"/>
    </xf>
    <xf numFmtId="0" fontId="66" fillId="0" borderId="18" xfId="854" applyFont="1" applyBorder="1" applyAlignment="1">
      <alignment horizontal="center" vertical="center"/>
    </xf>
    <xf numFmtId="4" fontId="66" fillId="0" borderId="19" xfId="854" applyNumberFormat="1" applyFont="1" applyFill="1" applyBorder="1" applyAlignment="1">
      <alignment vertical="center"/>
    </xf>
    <xf numFmtId="0" fontId="17" fillId="0" borderId="18" xfId="0" applyFont="1" applyFill="1" applyBorder="1" applyAlignment="1">
      <alignment horizontal="center" vertical="center" wrapText="1"/>
    </xf>
    <xf numFmtId="0" fontId="66" fillId="0" borderId="18" xfId="858" applyFont="1" applyBorder="1" applyAlignment="1">
      <alignment horizontal="center" vertical="center"/>
    </xf>
    <xf numFmtId="0" fontId="66" fillId="0" borderId="12" xfId="858" applyFont="1" applyBorder="1" applyAlignment="1">
      <alignment horizontal="left" vertical="top"/>
    </xf>
    <xf numFmtId="0" fontId="66" fillId="0" borderId="22" xfId="855" applyFont="1" applyBorder="1" applyAlignment="1" applyProtection="1">
      <alignment horizontal="left" vertical="top" wrapText="1"/>
    </xf>
    <xf numFmtId="0" fontId="66" fillId="0" borderId="12" xfId="855" applyFont="1" applyBorder="1" applyAlignment="1" applyProtection="1">
      <alignment horizontal="left" vertical="top" wrapText="1"/>
    </xf>
    <xf numFmtId="2" fontId="17" fillId="0" borderId="0" xfId="0" applyNumberFormat="1" applyFont="1"/>
    <xf numFmtId="4" fontId="82" fillId="0" borderId="0" xfId="0" applyNumberFormat="1" applyFont="1" applyBorder="1" applyAlignment="1" applyProtection="1">
      <alignment horizontal="right" vertical="center" wrapText="1"/>
    </xf>
    <xf numFmtId="2" fontId="23" fillId="0" borderId="12" xfId="0" applyNumberFormat="1" applyFont="1" applyBorder="1" applyAlignment="1">
      <alignment horizontal="right" wrapText="1"/>
    </xf>
    <xf numFmtId="2" fontId="36" fillId="0" borderId="12" xfId="0" applyNumberFormat="1" applyFont="1" applyBorder="1" applyAlignment="1">
      <alignment horizontal="right" vertical="top" wrapText="1"/>
    </xf>
    <xf numFmtId="2" fontId="0" fillId="0" borderId="0" xfId="0" applyNumberFormat="1" applyFill="1"/>
    <xf numFmtId="0" fontId="17" fillId="0" borderId="12" xfId="852" applyNumberFormat="1" applyFont="1" applyFill="1" applyBorder="1" applyAlignment="1" applyProtection="1">
      <alignment vertical="center" wrapText="1"/>
    </xf>
    <xf numFmtId="0" fontId="17" fillId="0" borderId="16" xfId="852" applyNumberFormat="1" applyFont="1" applyFill="1" applyBorder="1" applyAlignment="1" applyProtection="1">
      <alignment vertical="center" wrapText="1"/>
    </xf>
    <xf numFmtId="0" fontId="17" fillId="0" borderId="16" xfId="0" applyFont="1" applyFill="1" applyBorder="1" applyAlignment="1">
      <alignment vertical="center" wrapText="1"/>
    </xf>
    <xf numFmtId="0" fontId="0" fillId="0" borderId="0" xfId="0" applyBorder="1"/>
    <xf numFmtId="2" fontId="36" fillId="0" borderId="12" xfId="0" applyNumberFormat="1" applyFont="1" applyBorder="1"/>
    <xf numFmtId="2" fontId="17" fillId="0" borderId="12" xfId="0" applyNumberFormat="1" applyFont="1" applyFill="1" applyBorder="1" applyAlignment="1">
      <alignment vertical="top" wrapText="1"/>
    </xf>
    <xf numFmtId="2" fontId="17" fillId="51" borderId="12" xfId="0" applyNumberFormat="1" applyFont="1" applyFill="1" applyBorder="1" applyAlignment="1">
      <alignment vertical="top" wrapText="1"/>
    </xf>
    <xf numFmtId="2" fontId="38" fillId="0" borderId="12" xfId="0" applyNumberFormat="1" applyFont="1" applyFill="1" applyBorder="1" applyAlignment="1">
      <alignment vertical="center"/>
    </xf>
    <xf numFmtId="2" fontId="17" fillId="0" borderId="12" xfId="0" applyNumberFormat="1" applyFont="1" applyFill="1" applyBorder="1" applyAlignment="1">
      <alignment vertical="center" wrapText="1"/>
    </xf>
    <xf numFmtId="49" fontId="17" fillId="0" borderId="12" xfId="0" applyNumberFormat="1" applyFont="1" applyFill="1" applyBorder="1" applyAlignment="1">
      <alignment vertical="center" wrapText="1"/>
    </xf>
    <xf numFmtId="2" fontId="17" fillId="51" borderId="12" xfId="0" applyNumberFormat="1" applyFont="1" applyFill="1" applyBorder="1" applyAlignment="1">
      <alignment vertical="center" wrapText="1"/>
    </xf>
    <xf numFmtId="0" fontId="38" fillId="0" borderId="12" xfId="0" applyFont="1" applyFill="1" applyBorder="1" applyAlignment="1">
      <alignment horizontal="center" vertical="center" wrapText="1"/>
    </xf>
    <xf numFmtId="0" fontId="17" fillId="0" borderId="12" xfId="852" applyNumberFormat="1" applyFont="1" applyFill="1" applyBorder="1" applyAlignment="1" applyProtection="1">
      <alignment horizontal="left" vertical="center" wrapText="1"/>
    </xf>
    <xf numFmtId="49" fontId="17" fillId="0" borderId="12" xfId="0" applyNumberFormat="1" applyFont="1" applyFill="1" applyBorder="1" applyAlignment="1">
      <alignment horizontal="center" vertical="top"/>
    </xf>
    <xf numFmtId="4" fontId="83" fillId="0" borderId="0" xfId="0" applyNumberFormat="1" applyFont="1" applyBorder="1" applyAlignment="1" applyProtection="1">
      <alignment horizontal="right" vertical="center" wrapText="1"/>
    </xf>
    <xf numFmtId="0" fontId="17" fillId="0" borderId="12" xfId="852" applyNumberFormat="1" applyFont="1" applyFill="1" applyBorder="1" applyAlignment="1" applyProtection="1">
      <alignment vertical="top" wrapText="1"/>
    </xf>
    <xf numFmtId="4" fontId="4" fillId="0" borderId="0" xfId="0" applyNumberFormat="1" applyFont="1" applyBorder="1" applyAlignment="1">
      <alignment horizontal="center"/>
    </xf>
    <xf numFmtId="4" fontId="82" fillId="0" borderId="23" xfId="0" applyNumberFormat="1" applyFont="1" applyBorder="1" applyAlignment="1" applyProtection="1">
      <alignment horizontal="right" vertical="center" wrapText="1"/>
    </xf>
    <xf numFmtId="0" fontId="17" fillId="0" borderId="0" xfId="0" applyFont="1" applyAlignment="1">
      <alignment horizontal="left"/>
    </xf>
    <xf numFmtId="0" fontId="17" fillId="0" borderId="12" xfId="0" applyFont="1" applyFill="1" applyBorder="1" applyAlignment="1">
      <alignment horizontal="left" wrapText="1"/>
    </xf>
    <xf numFmtId="0" fontId="39" fillId="0" borderId="12" xfId="0" quotePrefix="1" applyFont="1" applyBorder="1" applyAlignment="1">
      <alignment horizontal="left" vertical="top" wrapText="1"/>
    </xf>
    <xf numFmtId="0" fontId="65" fillId="0" borderId="0" xfId="0" applyFont="1" applyBorder="1"/>
    <xf numFmtId="4" fontId="65" fillId="0" borderId="0" xfId="0" applyNumberFormat="1" applyFont="1" applyBorder="1"/>
    <xf numFmtId="0" fontId="65" fillId="0" borderId="0" xfId="0" applyFont="1" applyBorder="1" applyAlignment="1">
      <alignment horizontal="right"/>
    </xf>
    <xf numFmtId="4" fontId="99" fillId="0" borderId="0" xfId="0" applyNumberFormat="1" applyFont="1" applyBorder="1" applyAlignment="1" applyProtection="1">
      <alignment horizontal="right" vertical="center" wrapText="1"/>
    </xf>
    <xf numFmtId="4" fontId="66" fillId="50" borderId="12" xfId="0" applyNumberFormat="1" applyFont="1" applyFill="1" applyBorder="1" applyAlignment="1">
      <alignment vertical="center"/>
    </xf>
    <xf numFmtId="4" fontId="66" fillId="50" borderId="19" xfId="0" applyNumberFormat="1" applyFont="1" applyFill="1" applyBorder="1" applyAlignment="1">
      <alignment vertical="center"/>
    </xf>
    <xf numFmtId="4" fontId="66" fillId="0" borderId="12" xfId="0" applyNumberFormat="1" applyFont="1" applyFill="1" applyBorder="1" applyAlignment="1">
      <alignment vertical="center"/>
    </xf>
    <xf numFmtId="4" fontId="66" fillId="0" borderId="19" xfId="0" applyNumberFormat="1" applyFont="1" applyFill="1" applyBorder="1" applyAlignment="1">
      <alignment vertical="center"/>
    </xf>
    <xf numFmtId="4" fontId="66" fillId="0" borderId="12" xfId="0" applyNumberFormat="1" applyFont="1" applyFill="1" applyBorder="1" applyAlignment="1">
      <alignment vertical="center" wrapText="1"/>
    </xf>
    <xf numFmtId="4" fontId="66" fillId="0" borderId="19" xfId="0" applyNumberFormat="1" applyFont="1" applyFill="1" applyBorder="1" applyAlignment="1">
      <alignment vertical="center" wrapText="1"/>
    </xf>
    <xf numFmtId="4" fontId="39" fillId="50" borderId="12" xfId="0" applyNumberFormat="1" applyFont="1" applyFill="1" applyBorder="1" applyAlignment="1">
      <alignment vertical="center"/>
    </xf>
    <xf numFmtId="4" fontId="39" fillId="0" borderId="12" xfId="0" applyNumberFormat="1" applyFont="1" applyFill="1" applyBorder="1" applyAlignment="1">
      <alignment vertical="center" wrapText="1"/>
    </xf>
    <xf numFmtId="4" fontId="39" fillId="0" borderId="19" xfId="0" applyNumberFormat="1" applyFont="1" applyFill="1" applyBorder="1" applyAlignment="1">
      <alignment vertical="center" wrapText="1"/>
    </xf>
    <xf numFmtId="4" fontId="39" fillId="0" borderId="12" xfId="0" applyNumberFormat="1" applyFont="1" applyFill="1" applyBorder="1" applyAlignment="1">
      <alignment vertical="center"/>
    </xf>
    <xf numFmtId="4" fontId="39" fillId="0" borderId="19" xfId="0" applyNumberFormat="1" applyFont="1" applyFill="1" applyBorder="1" applyAlignment="1">
      <alignment vertical="center"/>
    </xf>
    <xf numFmtId="172" fontId="32" fillId="0" borderId="0" xfId="856" quotePrefix="1" applyNumberFormat="1" applyFont="1" applyBorder="1" applyAlignment="1">
      <alignment horizontal="left" vertical="top"/>
    </xf>
    <xf numFmtId="172" fontId="32" fillId="0" borderId="0" xfId="856" applyNumberFormat="1" applyFont="1" applyBorder="1" applyAlignment="1">
      <alignment vertical="top" wrapText="1"/>
    </xf>
    <xf numFmtId="4" fontId="39" fillId="50" borderId="12" xfId="0" applyNumberFormat="1" applyFont="1" applyFill="1" applyBorder="1" applyAlignment="1">
      <alignment vertical="center" wrapText="1"/>
    </xf>
    <xf numFmtId="0" fontId="66" fillId="0" borderId="24" xfId="855" applyFont="1" applyBorder="1" applyAlignment="1" applyProtection="1">
      <alignment horizontal="center" vertical="top" wrapText="1"/>
    </xf>
    <xf numFmtId="4" fontId="66" fillId="50" borderId="16" xfId="0" applyNumberFormat="1" applyFont="1" applyFill="1" applyBorder="1" applyAlignment="1">
      <alignment vertical="center"/>
    </xf>
    <xf numFmtId="4" fontId="66" fillId="0" borderId="22" xfId="855" applyNumberFormat="1" applyFont="1" applyFill="1" applyBorder="1" applyAlignment="1" applyProtection="1">
      <alignment vertical="center" wrapText="1"/>
    </xf>
    <xf numFmtId="0" fontId="66" fillId="0" borderId="12" xfId="855" applyFont="1" applyBorder="1" applyAlignment="1" applyProtection="1">
      <alignment horizontal="center" vertical="top" wrapText="1"/>
    </xf>
    <xf numFmtId="4" fontId="66" fillId="0" borderId="12" xfId="855" applyNumberFormat="1" applyFont="1" applyFill="1" applyBorder="1" applyAlignment="1" applyProtection="1">
      <alignment vertical="center" wrapText="1"/>
    </xf>
    <xf numFmtId="0" fontId="39" fillId="0" borderId="12" xfId="855" applyFont="1" applyBorder="1" applyAlignment="1" applyProtection="1">
      <alignment horizontal="center" vertical="top" wrapText="1"/>
    </xf>
    <xf numFmtId="0" fontId="39" fillId="0" borderId="12" xfId="855" applyFont="1" applyBorder="1" applyAlignment="1" applyProtection="1">
      <alignment horizontal="left" vertical="top" wrapText="1"/>
    </xf>
    <xf numFmtId="4" fontId="39" fillId="0" borderId="12" xfId="855" applyNumberFormat="1" applyFont="1" applyFill="1" applyBorder="1" applyAlignment="1" applyProtection="1">
      <alignment vertical="center" wrapText="1"/>
    </xf>
    <xf numFmtId="0" fontId="66" fillId="49" borderId="12" xfId="0" applyFont="1" applyFill="1" applyBorder="1" applyAlignment="1">
      <alignment horizontal="center" vertical="center"/>
    </xf>
    <xf numFmtId="4" fontId="66" fillId="49" borderId="12" xfId="0" applyNumberFormat="1" applyFont="1" applyFill="1" applyBorder="1" applyAlignment="1">
      <alignment vertical="center"/>
    </xf>
    <xf numFmtId="0" fontId="66" fillId="0" borderId="18" xfId="0" applyFont="1" applyFill="1" applyBorder="1" applyAlignment="1">
      <alignment horizontal="center" vertical="center"/>
    </xf>
    <xf numFmtId="0" fontId="38" fillId="0" borderId="18"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17" fillId="0" borderId="0" xfId="0" applyFont="1" applyFill="1" applyAlignment="1">
      <alignment vertical="center" wrapText="1"/>
    </xf>
    <xf numFmtId="0" fontId="66" fillId="0" borderId="18" xfId="857" applyFont="1" applyBorder="1" applyAlignment="1">
      <alignment horizontal="center" vertical="center" wrapText="1"/>
    </xf>
    <xf numFmtId="0" fontId="66" fillId="0" borderId="12" xfId="857" applyFont="1" applyBorder="1" applyAlignment="1">
      <alignment horizontal="left" vertical="top" wrapText="1"/>
    </xf>
    <xf numFmtId="0" fontId="39" fillId="0" borderId="12" xfId="858" applyFont="1" applyBorder="1" applyAlignment="1">
      <alignment horizontal="left" vertical="top" wrapText="1"/>
    </xf>
    <xf numFmtId="4" fontId="100" fillId="0" borderId="0" xfId="0" applyNumberFormat="1" applyFont="1" applyBorder="1" applyAlignment="1" applyProtection="1">
      <alignment horizontal="right" vertical="center" wrapText="1"/>
    </xf>
    <xf numFmtId="3" fontId="100" fillId="0" borderId="0" xfId="0" applyNumberFormat="1" applyFont="1" applyBorder="1" applyAlignment="1" applyProtection="1">
      <alignment horizontal="right" vertical="center" wrapText="1"/>
    </xf>
    <xf numFmtId="0" fontId="9" fillId="0" borderId="0" xfId="0" applyFont="1" applyFill="1" applyAlignment="1">
      <alignment horizontal="left"/>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7" fillId="0" borderId="0" xfId="0" applyFont="1" applyFill="1"/>
    <xf numFmtId="0" fontId="9" fillId="0" borderId="0" xfId="0" applyFont="1" applyAlignment="1"/>
    <xf numFmtId="0" fontId="2" fillId="0" borderId="0" xfId="852" applyNumberFormat="1" applyFont="1" applyFill="1" applyBorder="1" applyAlignment="1" applyProtection="1">
      <alignment horizontal="center" vertical="top"/>
    </xf>
    <xf numFmtId="0" fontId="101" fillId="0" borderId="0" xfId="0" applyFont="1" applyFill="1" applyBorder="1" applyAlignment="1">
      <alignment vertical="center" wrapText="1"/>
    </xf>
    <xf numFmtId="0" fontId="2" fillId="0" borderId="0" xfId="0" applyFont="1" applyFill="1" applyAlignment="1"/>
    <xf numFmtId="0" fontId="26" fillId="0" borderId="0" xfId="0" applyFont="1" applyFill="1"/>
    <xf numFmtId="0" fontId="67" fillId="0" borderId="13" xfId="0" applyFont="1" applyFill="1" applyBorder="1" applyAlignment="1">
      <alignment horizontal="right"/>
    </xf>
    <xf numFmtId="0" fontId="38" fillId="0" borderId="0" xfId="0" applyFont="1" applyFill="1" applyAlignment="1">
      <alignment horizontal="center" wrapText="1"/>
    </xf>
    <xf numFmtId="0" fontId="67" fillId="0" borderId="0" xfId="0" applyFont="1" applyFill="1" applyAlignment="1">
      <alignment horizontal="right"/>
    </xf>
    <xf numFmtId="0" fontId="2" fillId="0" borderId="12" xfId="0" applyFont="1" applyBorder="1" applyAlignment="1">
      <alignment horizontal="center" vertical="center" wrapText="1"/>
    </xf>
    <xf numFmtId="0" fontId="2" fillId="0" borderId="12" xfId="0" applyFont="1" applyFill="1" applyBorder="1" applyAlignment="1">
      <alignment horizontal="center" vertical="center" wrapText="1"/>
    </xf>
    <xf numFmtId="0" fontId="27" fillId="0" borderId="12" xfId="0" applyFont="1" applyBorder="1" applyAlignment="1">
      <alignment vertical="center"/>
    </xf>
    <xf numFmtId="2" fontId="27" fillId="0" borderId="12" xfId="0" applyNumberFormat="1" applyFont="1" applyBorder="1" applyAlignment="1"/>
    <xf numFmtId="0" fontId="101" fillId="0" borderId="0" xfId="0" applyFont="1" applyFill="1" applyBorder="1"/>
    <xf numFmtId="0" fontId="16" fillId="0" borderId="0" xfId="0" applyFont="1"/>
    <xf numFmtId="0" fontId="26" fillId="0" borderId="12" xfId="0" applyFont="1" applyBorder="1" applyAlignment="1">
      <alignment horizontal="right" vertical="center"/>
    </xf>
    <xf numFmtId="0" fontId="26" fillId="0" borderId="12" xfId="0" applyFont="1" applyBorder="1" applyAlignment="1">
      <alignment vertical="center" wrapText="1"/>
    </xf>
    <xf numFmtId="2" fontId="26" fillId="0" borderId="12" xfId="0" applyNumberFormat="1" applyFont="1" applyBorder="1" applyAlignment="1"/>
    <xf numFmtId="0" fontId="101" fillId="0" borderId="0" xfId="0" applyFont="1"/>
    <xf numFmtId="0" fontId="16" fillId="0" borderId="0" xfId="0" applyFont="1" applyBorder="1"/>
    <xf numFmtId="0" fontId="103" fillId="0" borderId="37" xfId="0" applyFont="1" applyBorder="1" applyAlignment="1" applyProtection="1">
      <alignment horizontal="right" vertical="top" wrapText="1"/>
    </xf>
    <xf numFmtId="2" fontId="16" fillId="0" borderId="0" xfId="0" applyNumberFormat="1" applyFont="1" applyBorder="1"/>
    <xf numFmtId="2" fontId="26" fillId="0" borderId="12" xfId="0" applyNumberFormat="1" applyFont="1" applyFill="1" applyBorder="1" applyAlignment="1"/>
    <xf numFmtId="186" fontId="26" fillId="0" borderId="12" xfId="903" applyNumberFormat="1" applyFont="1" applyBorder="1" applyProtection="1">
      <protection locked="0"/>
    </xf>
    <xf numFmtId="2" fontId="0" fillId="0" borderId="0" xfId="0" applyNumberFormat="1" applyBorder="1"/>
    <xf numFmtId="0" fontId="27" fillId="0" borderId="12" xfId="0" applyFont="1" applyBorder="1" applyAlignment="1">
      <alignment horizontal="center" vertical="center"/>
    </xf>
    <xf numFmtId="0" fontId="27" fillId="0" borderId="12" xfId="0" applyFont="1" applyBorder="1" applyAlignment="1">
      <alignment vertical="center" wrapText="1"/>
    </xf>
    <xf numFmtId="2" fontId="27" fillId="0" borderId="12" xfId="0" applyNumberFormat="1" applyFont="1" applyBorder="1" applyAlignment="1">
      <alignment wrapText="1"/>
    </xf>
    <xf numFmtId="0" fontId="26" fillId="0" borderId="12" xfId="0" applyFont="1" applyBorder="1" applyAlignment="1">
      <alignment vertical="center"/>
    </xf>
    <xf numFmtId="2" fontId="26" fillId="0" borderId="12" xfId="0" applyNumberFormat="1" applyFont="1" applyBorder="1" applyAlignment="1">
      <alignment wrapText="1"/>
    </xf>
    <xf numFmtId="0" fontId="9" fillId="0" borderId="0" xfId="852" applyNumberFormat="1" applyFont="1" applyFill="1" applyBorder="1" applyAlignment="1" applyProtection="1">
      <alignment vertical="top"/>
    </xf>
    <xf numFmtId="0" fontId="9" fillId="0" borderId="0" xfId="852" applyNumberFormat="1" applyFont="1" applyFill="1" applyBorder="1" applyAlignment="1" applyProtection="1">
      <alignment horizontal="right" vertical="top"/>
    </xf>
    <xf numFmtId="0" fontId="30" fillId="0" borderId="0" xfId="0" applyFont="1" applyAlignment="1">
      <alignment horizontal="center" vertical="center" wrapText="1"/>
    </xf>
    <xf numFmtId="0" fontId="2" fillId="0" borderId="0" xfId="0" applyFont="1" applyBorder="1" applyAlignment="1">
      <alignment wrapText="1"/>
    </xf>
    <xf numFmtId="49" fontId="7" fillId="0" borderId="12" xfId="0" applyNumberFormat="1" applyFont="1" applyBorder="1" applyAlignment="1">
      <alignment horizontal="center" vertical="center"/>
    </xf>
    <xf numFmtId="49" fontId="12" fillId="0" borderId="12" xfId="0" applyNumberFormat="1" applyFont="1" applyBorder="1" applyAlignment="1">
      <alignment vertical="top"/>
    </xf>
    <xf numFmtId="0" fontId="7" fillId="0" borderId="12" xfId="0" applyFont="1" applyBorder="1" applyAlignment="1">
      <alignment horizontal="center" wrapText="1"/>
    </xf>
    <xf numFmtId="0" fontId="7" fillId="0" borderId="17" xfId="0" applyFont="1" applyBorder="1" applyAlignment="1">
      <alignment horizontal="center" vertical="center" wrapText="1"/>
    </xf>
    <xf numFmtId="2" fontId="7" fillId="0" borderId="17" xfId="0" applyNumberFormat="1" applyFont="1" applyBorder="1" applyAlignment="1">
      <alignment horizontal="center" vertical="center" wrapText="1"/>
    </xf>
    <xf numFmtId="0" fontId="7" fillId="0" borderId="12" xfId="0" applyFont="1" applyBorder="1" applyAlignment="1">
      <alignment horizontal="left" wrapText="1"/>
    </xf>
    <xf numFmtId="2" fontId="7" fillId="0" borderId="17" xfId="0" applyNumberFormat="1" applyFont="1" applyFill="1" applyBorder="1" applyAlignment="1">
      <alignment horizontal="center" vertical="center" wrapText="1"/>
    </xf>
    <xf numFmtId="2" fontId="5" fillId="0" borderId="17" xfId="0" applyNumberFormat="1" applyFont="1" applyBorder="1" applyAlignment="1">
      <alignment horizontal="center" vertical="center" wrapText="1"/>
    </xf>
    <xf numFmtId="0" fontId="12" fillId="0" borderId="12" xfId="0" applyFont="1" applyFill="1" applyBorder="1" applyAlignment="1">
      <alignment vertical="center" wrapText="1"/>
    </xf>
    <xf numFmtId="0" fontId="5" fillId="0" borderId="36" xfId="0" applyFont="1" applyBorder="1" applyAlignment="1">
      <alignment horizontal="left" vertical="center" wrapText="1"/>
    </xf>
    <xf numFmtId="0" fontId="104" fillId="0" borderId="12" xfId="0" applyFont="1" applyBorder="1" applyAlignment="1">
      <alignment horizontal="left" wrapText="1"/>
    </xf>
    <xf numFmtId="0" fontId="104" fillId="0" borderId="36" xfId="0" applyFont="1" applyBorder="1" applyAlignment="1">
      <alignment horizontal="left" wrapText="1"/>
    </xf>
    <xf numFmtId="0" fontId="12" fillId="0" borderId="12" xfId="0" applyFont="1" applyFill="1" applyBorder="1" applyAlignment="1">
      <alignment wrapText="1"/>
    </xf>
    <xf numFmtId="49" fontId="5" fillId="0" borderId="16" xfId="0" applyNumberFormat="1" applyFont="1" applyBorder="1" applyAlignment="1">
      <alignment horizontal="center" vertical="center" wrapText="1"/>
    </xf>
    <xf numFmtId="49" fontId="5" fillId="0" borderId="31" xfId="0" applyNumberFormat="1" applyFont="1" applyBorder="1" applyAlignment="1">
      <alignment horizontal="center" vertical="center" wrapText="1"/>
    </xf>
    <xf numFmtId="0" fontId="5" fillId="0" borderId="35" xfId="0" applyFont="1" applyBorder="1" applyAlignment="1">
      <alignment vertical="top" wrapText="1"/>
    </xf>
    <xf numFmtId="49" fontId="7" fillId="0" borderId="16" xfId="0" applyNumberFormat="1" applyFont="1" applyBorder="1" applyAlignment="1">
      <alignment horizontal="center" vertical="center" wrapText="1"/>
    </xf>
    <xf numFmtId="49" fontId="7" fillId="0" borderId="31" xfId="0" applyNumberFormat="1" applyFont="1" applyBorder="1" applyAlignment="1">
      <alignment horizontal="center" vertical="center" wrapText="1"/>
    </xf>
    <xf numFmtId="0" fontId="7" fillId="0" borderId="35" xfId="0" applyFont="1" applyBorder="1" applyAlignment="1">
      <alignment vertical="top" wrapText="1"/>
    </xf>
    <xf numFmtId="0" fontId="5" fillId="0" borderId="12" xfId="0" applyFont="1" applyBorder="1" applyAlignment="1">
      <alignment wrapText="1"/>
    </xf>
    <xf numFmtId="0" fontId="12" fillId="0" borderId="12" xfId="852" applyNumberFormat="1" applyFont="1" applyFill="1" applyBorder="1" applyAlignment="1" applyProtection="1">
      <alignment vertical="top" wrapText="1"/>
    </xf>
    <xf numFmtId="0" fontId="7" fillId="0" borderId="12" xfId="0" applyFont="1" applyBorder="1"/>
    <xf numFmtId="0" fontId="7" fillId="0" borderId="12" xfId="0" applyFont="1" applyBorder="1" applyAlignment="1">
      <alignment horizontal="center" vertical="center" wrapText="1"/>
    </xf>
    <xf numFmtId="0" fontId="7" fillId="0" borderId="12" xfId="0" applyFont="1" applyBorder="1" applyAlignment="1">
      <alignment wrapText="1"/>
    </xf>
    <xf numFmtId="2" fontId="7" fillId="0" borderId="12" xfId="0" applyNumberFormat="1" applyFont="1" applyBorder="1" applyAlignment="1">
      <alignment horizontal="center" vertical="center" wrapText="1"/>
    </xf>
    <xf numFmtId="0" fontId="5" fillId="0" borderId="17" xfId="0" applyFont="1" applyBorder="1" applyAlignment="1">
      <alignment wrapText="1"/>
    </xf>
    <xf numFmtId="0" fontId="12" fillId="0" borderId="12" xfId="0" applyFont="1" applyBorder="1" applyAlignment="1">
      <alignment horizontal="left" vertical="top"/>
    </xf>
    <xf numFmtId="0" fontId="12" fillId="0" borderId="12" xfId="0" applyFont="1" applyBorder="1" applyAlignment="1">
      <alignment horizontal="left" vertical="top" wrapText="1"/>
    </xf>
    <xf numFmtId="49" fontId="12" fillId="0" borderId="31" xfId="0" applyNumberFormat="1" applyFont="1" applyBorder="1" applyAlignment="1">
      <alignment horizontal="left" vertical="top"/>
    </xf>
    <xf numFmtId="0" fontId="5" fillId="0" borderId="12" xfId="852" applyNumberFormat="1" applyFont="1" applyFill="1" applyBorder="1" applyAlignment="1" applyProtection="1">
      <alignment vertical="top" wrapText="1"/>
    </xf>
    <xf numFmtId="49" fontId="5" fillId="0" borderId="16" xfId="0" applyNumberFormat="1" applyFont="1" applyBorder="1" applyAlignment="1">
      <alignment horizontal="center" vertical="top"/>
    </xf>
    <xf numFmtId="49" fontId="5" fillId="0" borderId="31" xfId="0" applyNumberFormat="1" applyFont="1" applyBorder="1" applyAlignment="1">
      <alignment horizontal="center"/>
    </xf>
    <xf numFmtId="0" fontId="5" fillId="0" borderId="14" xfId="0" applyFont="1" applyBorder="1" applyAlignment="1">
      <alignment wrapText="1"/>
    </xf>
    <xf numFmtId="2" fontId="5" fillId="0" borderId="12" xfId="0" applyNumberFormat="1" applyFont="1" applyBorder="1" applyAlignment="1">
      <alignment horizontal="center" vertical="center" wrapText="1"/>
    </xf>
    <xf numFmtId="2" fontId="7" fillId="0" borderId="12" xfId="0" applyNumberFormat="1" applyFont="1" applyBorder="1" applyAlignment="1">
      <alignment horizontal="right" vertical="center" wrapText="1"/>
    </xf>
    <xf numFmtId="49" fontId="7" fillId="0" borderId="16" xfId="0" applyNumberFormat="1" applyFont="1" applyBorder="1" applyAlignment="1">
      <alignment horizontal="center" vertical="top"/>
    </xf>
    <xf numFmtId="49" fontId="7" fillId="0" borderId="31" xfId="0" applyNumberFormat="1" applyFont="1" applyBorder="1" applyAlignment="1">
      <alignment horizontal="center"/>
    </xf>
    <xf numFmtId="0" fontId="7" fillId="0" borderId="14" xfId="0" applyFont="1" applyBorder="1" applyAlignment="1">
      <alignment wrapText="1"/>
    </xf>
    <xf numFmtId="0" fontId="5" fillId="0" borderId="12" xfId="0" applyFont="1" applyBorder="1"/>
    <xf numFmtId="0" fontId="5" fillId="0" borderId="12" xfId="0" applyFont="1" applyFill="1" applyBorder="1" applyAlignment="1">
      <alignment wrapText="1"/>
    </xf>
    <xf numFmtId="0" fontId="5" fillId="0" borderId="14" xfId="0" applyFont="1" applyFill="1" applyBorder="1" applyAlignment="1">
      <alignment wrapText="1"/>
    </xf>
    <xf numFmtId="49" fontId="12" fillId="0" borderId="12" xfId="0" applyNumberFormat="1" applyFont="1" applyBorder="1" applyAlignment="1"/>
    <xf numFmtId="2" fontId="7" fillId="0" borderId="12" xfId="0" applyNumberFormat="1" applyFont="1" applyFill="1" applyBorder="1" applyAlignment="1">
      <alignment horizontal="center" vertical="center" wrapText="1"/>
    </xf>
    <xf numFmtId="2" fontId="7" fillId="0" borderId="12" xfId="0" applyNumberFormat="1" applyFont="1" applyFill="1" applyBorder="1" applyAlignment="1">
      <alignment horizontal="right" vertical="center" wrapText="1"/>
    </xf>
    <xf numFmtId="0" fontId="6" fillId="0" borderId="12" xfId="0" applyFont="1" applyBorder="1"/>
    <xf numFmtId="0" fontId="105" fillId="0" borderId="0" xfId="0" applyFont="1"/>
    <xf numFmtId="0" fontId="7" fillId="0" borderId="12" xfId="0" applyFont="1" applyBorder="1" applyAlignment="1">
      <alignment horizontal="center" vertical="top" wrapText="1"/>
    </xf>
    <xf numFmtId="0" fontId="12" fillId="0" borderId="12" xfId="0" applyFont="1" applyBorder="1" applyAlignment="1">
      <alignment horizontal="center" vertical="top" wrapText="1"/>
    </xf>
    <xf numFmtId="2" fontId="7" fillId="0" borderId="12" xfId="0" applyNumberFormat="1" applyFont="1" applyBorder="1" applyAlignment="1">
      <alignment horizontal="center" vertical="top" wrapText="1"/>
    </xf>
    <xf numFmtId="0" fontId="17" fillId="0" borderId="0" xfId="0" applyFont="1" applyAlignment="1">
      <alignment wrapText="1"/>
    </xf>
    <xf numFmtId="187" fontId="105" fillId="0" borderId="0" xfId="0" applyNumberFormat="1" applyFont="1"/>
    <xf numFmtId="0" fontId="6" fillId="0" borderId="32" xfId="0" applyFont="1" applyBorder="1"/>
    <xf numFmtId="0" fontId="106" fillId="0" borderId="32" xfId="0" applyFont="1" applyBorder="1" applyAlignment="1">
      <alignment horizontal="center" vertical="top" wrapText="1"/>
    </xf>
    <xf numFmtId="0" fontId="106" fillId="0" borderId="0" xfId="0" applyFont="1" applyBorder="1" applyAlignment="1">
      <alignment horizontal="center" vertical="top" wrapText="1"/>
    </xf>
    <xf numFmtId="0" fontId="107" fillId="0" borderId="0" xfId="0" applyFont="1" applyBorder="1" applyAlignment="1">
      <alignment horizontal="center" vertical="top" wrapText="1"/>
    </xf>
    <xf numFmtId="2" fontId="106" fillId="0" borderId="0" xfId="0" applyNumberFormat="1" applyFont="1" applyBorder="1" applyAlignment="1">
      <alignment horizontal="center" vertical="top" wrapText="1"/>
    </xf>
    <xf numFmtId="0" fontId="0" fillId="0" borderId="0" xfId="0" applyBorder="1" applyAlignment="1"/>
    <xf numFmtId="0" fontId="5" fillId="0" borderId="36" xfId="0" applyFont="1" applyFill="1" applyBorder="1" applyAlignment="1">
      <alignment horizontal="left" vertical="center" wrapText="1"/>
    </xf>
    <xf numFmtId="4" fontId="5" fillId="0" borderId="0" xfId="0" applyNumberFormat="1" applyFont="1" applyFill="1" applyBorder="1" applyAlignment="1">
      <alignment horizontal="center"/>
    </xf>
    <xf numFmtId="168" fontId="5" fillId="0" borderId="0" xfId="0" applyNumberFormat="1" applyFont="1" applyFill="1" applyBorder="1" applyAlignment="1">
      <alignment horizontal="center"/>
    </xf>
    <xf numFmtId="4" fontId="108" fillId="0" borderId="0" xfId="0" applyNumberFormat="1" applyFont="1" applyBorder="1" applyAlignment="1" applyProtection="1">
      <alignment horizontal="right" vertical="center" wrapText="1"/>
    </xf>
    <xf numFmtId="2" fontId="18" fillId="0" borderId="12" xfId="0" applyNumberFormat="1" applyFont="1" applyFill="1" applyBorder="1" applyAlignment="1">
      <alignment horizontal="center"/>
    </xf>
    <xf numFmtId="0" fontId="17" fillId="0" borderId="12" xfId="0" applyFont="1" applyBorder="1" applyAlignment="1">
      <alignment wrapText="1"/>
    </xf>
    <xf numFmtId="4" fontId="61" fillId="0" borderId="12" xfId="0" applyNumberFormat="1" applyFont="1" applyFill="1" applyBorder="1" applyAlignment="1">
      <alignment horizontal="right" vertical="top"/>
    </xf>
    <xf numFmtId="0" fontId="5" fillId="0" borderId="13" xfId="0" applyFont="1" applyBorder="1" applyAlignment="1">
      <alignment horizontal="left" vertical="center" wrapText="1"/>
    </xf>
    <xf numFmtId="0" fontId="5" fillId="0" borderId="17" xfId="0" applyFont="1" applyBorder="1" applyAlignment="1">
      <alignment horizontal="center" vertical="center" wrapText="1"/>
    </xf>
    <xf numFmtId="49" fontId="17" fillId="0" borderId="12" xfId="0" applyNumberFormat="1" applyFont="1" applyFill="1" applyBorder="1" applyAlignment="1">
      <alignment vertical="top"/>
    </xf>
    <xf numFmtId="0" fontId="12" fillId="0" borderId="12" xfId="0" applyFont="1" applyFill="1" applyBorder="1" applyAlignment="1">
      <alignment horizontal="left" vertical="top"/>
    </xf>
    <xf numFmtId="0" fontId="7" fillId="0" borderId="14" xfId="0" applyFont="1" applyBorder="1" applyAlignment="1">
      <alignment horizontal="left" wrapText="1"/>
    </xf>
    <xf numFmtId="0" fontId="39" fillId="0" borderId="0" xfId="0" applyFont="1" applyFill="1" applyAlignment="1">
      <alignment horizontal="left"/>
    </xf>
    <xf numFmtId="0" fontId="39" fillId="0" borderId="0" xfId="0" quotePrefix="1" applyFont="1" applyFill="1" applyAlignment="1">
      <alignment horizontal="left"/>
    </xf>
    <xf numFmtId="0" fontId="67" fillId="0" borderId="0" xfId="852" applyNumberFormat="1" applyFont="1" applyFill="1" applyBorder="1" applyAlignment="1" applyProtection="1">
      <alignment horizontal="right" vertical="top"/>
    </xf>
    <xf numFmtId="0" fontId="58" fillId="0" borderId="0" xfId="0" applyFont="1" applyFill="1" applyAlignment="1">
      <alignment horizontal="center" vertical="center"/>
    </xf>
    <xf numFmtId="4" fontId="109" fillId="0" borderId="0" xfId="0" applyNumberFormat="1" applyFont="1" applyBorder="1" applyAlignment="1" applyProtection="1">
      <alignment horizontal="right" vertical="top" wrapText="1"/>
    </xf>
    <xf numFmtId="4" fontId="110" fillId="0" borderId="0" xfId="0" applyNumberFormat="1" applyFont="1" applyBorder="1" applyAlignment="1" applyProtection="1">
      <alignment horizontal="right" vertical="top" wrapText="1"/>
    </xf>
    <xf numFmtId="49" fontId="15" fillId="0" borderId="0" xfId="0" applyNumberFormat="1" applyFont="1" applyFill="1" applyBorder="1" applyAlignment="1">
      <alignment horizontal="center"/>
    </xf>
    <xf numFmtId="0" fontId="66" fillId="0" borderId="20" xfId="0" applyFont="1" applyFill="1" applyBorder="1" applyAlignment="1">
      <alignment horizontal="center" vertical="center"/>
    </xf>
    <xf numFmtId="0" fontId="66" fillId="0" borderId="21" xfId="0" applyFont="1" applyFill="1" applyBorder="1" applyAlignment="1">
      <alignment vertical="center" wrapText="1"/>
    </xf>
    <xf numFmtId="4" fontId="66" fillId="0" borderId="21" xfId="0" applyNumberFormat="1" applyFont="1" applyFill="1" applyBorder="1" applyAlignment="1">
      <alignment vertical="center"/>
    </xf>
    <xf numFmtId="4" fontId="66" fillId="0" borderId="25" xfId="0" applyNumberFormat="1" applyFont="1" applyFill="1" applyBorder="1" applyAlignment="1">
      <alignment vertical="center"/>
    </xf>
    <xf numFmtId="4" fontId="111" fillId="0" borderId="0" xfId="0" applyNumberFormat="1" applyFont="1" applyBorder="1" applyAlignment="1" applyProtection="1">
      <alignment horizontal="right" vertical="center" wrapText="1"/>
    </xf>
    <xf numFmtId="4" fontId="112" fillId="0" borderId="37" xfId="0" applyNumberFormat="1" applyFont="1" applyBorder="1" applyAlignment="1" applyProtection="1">
      <alignment horizontal="right" vertical="center" wrapText="1"/>
    </xf>
    <xf numFmtId="4" fontId="66" fillId="0" borderId="39" xfId="855" applyNumberFormat="1" applyFont="1" applyFill="1" applyBorder="1" applyAlignment="1" applyProtection="1">
      <alignment vertical="center" wrapText="1"/>
    </xf>
    <xf numFmtId="4" fontId="66" fillId="0" borderId="14" xfId="855" applyNumberFormat="1" applyFont="1" applyFill="1" applyBorder="1" applyAlignment="1" applyProtection="1">
      <alignment vertical="center" wrapText="1"/>
    </xf>
    <xf numFmtId="4" fontId="39" fillId="0" borderId="14" xfId="855" applyNumberFormat="1" applyFont="1" applyFill="1" applyBorder="1" applyAlignment="1" applyProtection="1">
      <alignment vertical="center" wrapText="1"/>
    </xf>
    <xf numFmtId="4" fontId="66" fillId="0" borderId="14" xfId="0" applyNumberFormat="1" applyFont="1" applyFill="1" applyBorder="1" applyAlignment="1">
      <alignment vertical="center"/>
    </xf>
    <xf numFmtId="4" fontId="39" fillId="0" borderId="14" xfId="0" applyNumberFormat="1" applyFont="1" applyFill="1" applyBorder="1" applyAlignment="1">
      <alignment vertical="center"/>
    </xf>
    <xf numFmtId="4" fontId="66" fillId="49" borderId="14" xfId="0" applyNumberFormat="1" applyFont="1" applyFill="1" applyBorder="1" applyAlignment="1">
      <alignment vertical="center"/>
    </xf>
    <xf numFmtId="0" fontId="62" fillId="0" borderId="23" xfId="0" applyFont="1" applyBorder="1"/>
    <xf numFmtId="4" fontId="113" fillId="0" borderId="23" xfId="0" applyNumberFormat="1" applyFont="1" applyBorder="1" applyAlignment="1" applyProtection="1">
      <alignment horizontal="right" vertical="top" wrapText="1"/>
    </xf>
    <xf numFmtId="4" fontId="114" fillId="0" borderId="23" xfId="0" applyNumberFormat="1" applyFont="1" applyBorder="1" applyAlignment="1" applyProtection="1">
      <alignment horizontal="right" vertical="top" wrapText="1"/>
    </xf>
    <xf numFmtId="4" fontId="113" fillId="0" borderId="23" xfId="0" applyNumberFormat="1" applyFont="1" applyBorder="1" applyAlignment="1" applyProtection="1">
      <alignment horizontal="right" vertical="center" wrapText="1"/>
    </xf>
    <xf numFmtId="2" fontId="36" fillId="0" borderId="0" xfId="0" applyNumberFormat="1" applyFont="1" applyBorder="1" applyAlignment="1">
      <alignment horizontal="center" vertical="top" wrapText="1"/>
    </xf>
    <xf numFmtId="2" fontId="23" fillId="0" borderId="0" xfId="0" applyNumberFormat="1" applyFont="1" applyBorder="1" applyAlignment="1">
      <alignment horizontal="right" wrapText="1"/>
    </xf>
    <xf numFmtId="2" fontId="23" fillId="0" borderId="0" xfId="0" applyNumberFormat="1" applyFont="1" applyBorder="1"/>
    <xf numFmtId="2" fontId="23" fillId="0" borderId="0" xfId="0" applyNumberFormat="1" applyFont="1" applyBorder="1" applyAlignment="1">
      <alignment horizontal="right" vertical="center"/>
    </xf>
    <xf numFmtId="2" fontId="36" fillId="0" borderId="0" xfId="0" applyNumberFormat="1" applyFont="1" applyFill="1" applyBorder="1"/>
    <xf numFmtId="2" fontId="18" fillId="0" borderId="0" xfId="0" applyNumberFormat="1" applyFont="1" applyFill="1" applyBorder="1"/>
    <xf numFmtId="2" fontId="18" fillId="0" borderId="0" xfId="0" applyNumberFormat="1" applyFont="1" applyFill="1" applyBorder="1" applyAlignment="1">
      <alignment horizontal="center"/>
    </xf>
    <xf numFmtId="2" fontId="17" fillId="0" borderId="17" xfId="0" applyNumberFormat="1" applyFont="1" applyFill="1" applyBorder="1" applyAlignment="1">
      <alignment vertical="top" wrapText="1"/>
    </xf>
    <xf numFmtId="2" fontId="17" fillId="0" borderId="17" xfId="0" applyNumberFormat="1" applyFont="1" applyFill="1" applyBorder="1" applyAlignment="1">
      <alignment wrapText="1"/>
    </xf>
    <xf numFmtId="2" fontId="17" fillId="0" borderId="17" xfId="0" applyNumberFormat="1" applyFont="1" applyFill="1" applyBorder="1" applyAlignment="1"/>
    <xf numFmtId="168" fontId="17" fillId="0" borderId="17" xfId="0" applyNumberFormat="1" applyFont="1" applyFill="1" applyBorder="1" applyAlignment="1"/>
    <xf numFmtId="2" fontId="17" fillId="0" borderId="17" xfId="0" applyNumberFormat="1" applyFont="1" applyFill="1" applyBorder="1"/>
    <xf numFmtId="4" fontId="65" fillId="0" borderId="12" xfId="0" applyNumberFormat="1" applyFont="1" applyBorder="1"/>
    <xf numFmtId="4" fontId="115" fillId="0" borderId="37" xfId="0" applyNumberFormat="1" applyFont="1" applyBorder="1" applyAlignment="1" applyProtection="1">
      <alignment horizontal="right" vertical="center" wrapText="1"/>
    </xf>
    <xf numFmtId="4" fontId="115" fillId="0" borderId="0" xfId="0" applyNumberFormat="1" applyFont="1" applyBorder="1" applyAlignment="1" applyProtection="1">
      <alignment horizontal="right" vertical="center" wrapText="1"/>
    </xf>
    <xf numFmtId="0" fontId="62" fillId="0" borderId="12" xfId="0" applyFont="1" applyBorder="1"/>
    <xf numFmtId="4" fontId="116" fillId="0" borderId="12" xfId="0" applyNumberFormat="1" applyFont="1" applyBorder="1"/>
    <xf numFmtId="0" fontId="17" fillId="0" borderId="0" xfId="0" applyFont="1" applyFill="1" applyAlignment="1">
      <alignment horizontal="left"/>
    </xf>
    <xf numFmtId="0" fontId="39" fillId="0" borderId="0" xfId="0" applyFont="1" applyFill="1" applyAlignment="1">
      <alignment horizontal="left"/>
    </xf>
    <xf numFmtId="0" fontId="39" fillId="0" borderId="0" xfId="0" quotePrefix="1" applyFont="1" applyFill="1" applyAlignment="1">
      <alignment horizontal="left"/>
    </xf>
    <xf numFmtId="0" fontId="76" fillId="0" borderId="0" xfId="0" applyFont="1" applyFill="1" applyAlignment="1">
      <alignment horizontal="center"/>
    </xf>
    <xf numFmtId="0" fontId="62" fillId="0" borderId="0" xfId="0" applyFont="1" applyAlignment="1">
      <alignment horizontal="right"/>
    </xf>
    <xf numFmtId="0" fontId="73" fillId="0" borderId="0" xfId="0" applyFont="1" applyFill="1" applyBorder="1" applyAlignment="1">
      <alignment horizontal="left"/>
    </xf>
    <xf numFmtId="0" fontId="39" fillId="0" borderId="29" xfId="0" applyFont="1" applyBorder="1" applyAlignment="1">
      <alignment horizontal="center" vertical="center" wrapText="1"/>
    </xf>
    <xf numFmtId="0" fontId="39" fillId="0" borderId="18" xfId="0" applyFont="1" applyBorder="1" applyAlignment="1">
      <alignment horizontal="center" vertical="center" wrapText="1"/>
    </xf>
    <xf numFmtId="0" fontId="39" fillId="0" borderId="26" xfId="0" quotePrefix="1" applyFont="1" applyBorder="1" applyAlignment="1">
      <alignment horizontal="center" vertical="center" wrapText="1"/>
    </xf>
    <xf numFmtId="0" fontId="39" fillId="0" borderId="12" xfId="0" applyFont="1" applyBorder="1" applyAlignment="1">
      <alignment horizontal="center" vertical="center" wrapText="1"/>
    </xf>
    <xf numFmtId="0" fontId="39" fillId="0" borderId="26"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28" xfId="0" applyFont="1" applyBorder="1" applyAlignment="1">
      <alignment horizontal="center" vertical="center" wrapText="1"/>
    </xf>
    <xf numFmtId="0" fontId="67" fillId="0" borderId="0" xfId="852" applyNumberFormat="1" applyFont="1" applyFill="1" applyBorder="1" applyAlignment="1" applyProtection="1">
      <alignment horizontal="left" vertical="top"/>
    </xf>
    <xf numFmtId="0" fontId="67" fillId="0" borderId="0" xfId="852" applyNumberFormat="1" applyFont="1" applyFill="1" applyBorder="1" applyAlignment="1" applyProtection="1">
      <alignment vertical="top"/>
    </xf>
    <xf numFmtId="0" fontId="101" fillId="0" borderId="12" xfId="0" applyFont="1" applyBorder="1" applyAlignment="1">
      <alignment horizontal="center" vertical="center" wrapText="1"/>
    </xf>
    <xf numFmtId="0" fontId="27" fillId="0" borderId="14" xfId="0" applyFont="1" applyBorder="1" applyAlignment="1">
      <alignment horizontal="center" vertical="center"/>
    </xf>
    <xf numFmtId="0" fontId="27" fillId="0" borderId="38" xfId="0" applyFont="1" applyBorder="1" applyAlignment="1">
      <alignment horizontal="center" vertical="center"/>
    </xf>
    <xf numFmtId="0" fontId="27" fillId="0" borderId="15" xfId="0" applyFont="1" applyBorder="1" applyAlignment="1">
      <alignment horizontal="center" vertical="center"/>
    </xf>
    <xf numFmtId="0" fontId="67" fillId="0" borderId="0" xfId="0" applyFont="1" applyFill="1" applyAlignment="1">
      <alignment horizontal="center"/>
    </xf>
    <xf numFmtId="0" fontId="102" fillId="0" borderId="0" xfId="0" applyFont="1" applyFill="1" applyBorder="1" applyAlignment="1" applyProtection="1">
      <alignment horizontal="center" vertical="top" wrapText="1"/>
    </xf>
    <xf numFmtId="0" fontId="27" fillId="0" borderId="0" xfId="0" applyFont="1" applyFill="1" applyAlignment="1">
      <alignment horizontal="center" wrapText="1"/>
    </xf>
    <xf numFmtId="0" fontId="2" fillId="0" borderId="12" xfId="0" applyFont="1" applyBorder="1" applyAlignment="1">
      <alignment horizontal="center" vertical="center" wrapText="1"/>
    </xf>
    <xf numFmtId="0" fontId="2" fillId="0" borderId="12" xfId="0" applyFont="1" applyFill="1" applyBorder="1" applyAlignment="1">
      <alignment horizontal="center" vertical="center" wrapText="1"/>
    </xf>
    <xf numFmtId="0" fontId="5" fillId="0" borderId="16" xfId="0" applyNumberFormat="1" applyFont="1" applyBorder="1" applyAlignment="1">
      <alignment horizontal="center" vertical="center" wrapText="1"/>
    </xf>
    <xf numFmtId="0" fontId="5" fillId="0" borderId="30" xfId="0" applyNumberFormat="1" applyFont="1" applyBorder="1" applyAlignment="1">
      <alignment horizontal="center" vertical="center" wrapText="1"/>
    </xf>
    <xf numFmtId="0" fontId="5" fillId="0" borderId="17" xfId="0" applyNumberFormat="1" applyFont="1" applyBorder="1" applyAlignment="1">
      <alignment horizontal="center" vertical="center" wrapText="1"/>
    </xf>
    <xf numFmtId="0" fontId="5" fillId="0" borderId="16"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6" xfId="852" applyNumberFormat="1" applyFont="1" applyFill="1" applyBorder="1" applyAlignment="1" applyProtection="1">
      <alignment horizontal="center" vertical="center" wrapText="1"/>
    </xf>
    <xf numFmtId="0" fontId="5" fillId="0" borderId="30" xfId="852" applyNumberFormat="1" applyFont="1" applyFill="1" applyBorder="1" applyAlignment="1" applyProtection="1">
      <alignment horizontal="center" vertical="center" wrapText="1"/>
    </xf>
    <xf numFmtId="0" fontId="5" fillId="0" borderId="17" xfId="852" applyNumberFormat="1" applyFont="1" applyFill="1" applyBorder="1" applyAlignment="1" applyProtection="1">
      <alignment horizontal="center" vertical="center" wrapText="1"/>
    </xf>
    <xf numFmtId="0" fontId="12" fillId="0" borderId="16" xfId="852" applyNumberFormat="1" applyFont="1" applyFill="1" applyBorder="1" applyAlignment="1" applyProtection="1">
      <alignment horizontal="center" vertical="center" wrapText="1"/>
    </xf>
    <xf numFmtId="0" fontId="12" fillId="0" borderId="30" xfId="852" applyNumberFormat="1" applyFont="1" applyFill="1" applyBorder="1" applyAlignment="1" applyProtection="1">
      <alignment horizontal="center" vertical="center" wrapText="1"/>
    </xf>
    <xf numFmtId="0" fontId="12" fillId="0" borderId="17" xfId="852" applyNumberFormat="1" applyFont="1" applyFill="1" applyBorder="1" applyAlignment="1" applyProtection="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33"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6" xfId="0" applyFont="1" applyBorder="1" applyAlignment="1">
      <alignment horizontal="center" vertical="center" wrapText="1"/>
    </xf>
    <xf numFmtId="0" fontId="5" fillId="0" borderId="12" xfId="852" applyNumberFormat="1" applyFont="1" applyFill="1" applyBorder="1" applyAlignment="1" applyProtection="1">
      <alignment horizontal="center" vertical="center" wrapText="1"/>
    </xf>
    <xf numFmtId="0" fontId="13" fillId="0" borderId="16"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17"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5"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5" fillId="0" borderId="33" xfId="852" applyNumberFormat="1" applyFont="1" applyFill="1" applyBorder="1" applyAlignment="1" applyProtection="1">
      <alignment horizontal="center" vertical="center" wrapText="1"/>
    </xf>
    <xf numFmtId="0" fontId="5" fillId="0" borderId="36" xfId="852" applyNumberFormat="1" applyFont="1" applyFill="1" applyBorder="1" applyAlignment="1" applyProtection="1">
      <alignment horizontal="center" vertical="center" wrapText="1"/>
    </xf>
    <xf numFmtId="0" fontId="9" fillId="0" borderId="0" xfId="0" applyFont="1" applyFill="1" applyAlignment="1">
      <alignment horizontal="left"/>
    </xf>
    <xf numFmtId="0" fontId="13" fillId="0" borderId="12"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17" xfId="0" applyFont="1" applyBorder="1" applyAlignment="1">
      <alignment horizontal="center" vertical="center" wrapText="1"/>
    </xf>
    <xf numFmtId="0" fontId="2" fillId="0" borderId="14"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14" xfId="0" applyFont="1" applyFill="1" applyBorder="1" applyAlignment="1">
      <alignment vertical="top" wrapText="1"/>
    </xf>
    <xf numFmtId="0" fontId="2" fillId="0" borderId="15" xfId="0" applyFont="1" applyFill="1" applyBorder="1" applyAlignment="1">
      <alignment vertical="top" wrapText="1"/>
    </xf>
    <xf numFmtId="0" fontId="17" fillId="0" borderId="12" xfId="0" applyFont="1" applyFill="1" applyBorder="1" applyAlignment="1">
      <alignment horizontal="left" vertical="top" wrapText="1"/>
    </xf>
    <xf numFmtId="0" fontId="2" fillId="0" borderId="12" xfId="0" applyFont="1" applyFill="1" applyBorder="1" applyAlignment="1">
      <alignment horizontal="left" vertical="top" wrapText="1"/>
    </xf>
    <xf numFmtId="0" fontId="38" fillId="0" borderId="12" xfId="0" applyFont="1" applyFill="1" applyBorder="1" applyAlignment="1">
      <alignment horizontal="center" vertical="center"/>
    </xf>
    <xf numFmtId="0" fontId="17" fillId="0" borderId="14" xfId="0" applyFont="1" applyFill="1" applyBorder="1" applyAlignment="1">
      <alignment horizontal="left" vertical="top" wrapText="1"/>
    </xf>
    <xf numFmtId="0" fontId="17" fillId="0" borderId="15" xfId="0" applyFont="1" applyFill="1" applyBorder="1" applyAlignment="1">
      <alignment horizontal="left" vertical="top" wrapText="1"/>
    </xf>
    <xf numFmtId="0" fontId="17" fillId="0" borderId="14" xfId="0" applyFont="1" applyFill="1" applyBorder="1" applyAlignment="1">
      <alignment vertical="top" wrapText="1"/>
    </xf>
    <xf numFmtId="0" fontId="17" fillId="0" borderId="15" xfId="0" applyFont="1" applyFill="1" applyBorder="1" applyAlignment="1">
      <alignment vertical="top" wrapText="1"/>
    </xf>
    <xf numFmtId="0" fontId="2" fillId="0" borderId="12" xfId="0" applyFont="1" applyBorder="1" applyAlignment="1">
      <alignment horizontal="left" vertical="top" wrapText="1"/>
    </xf>
    <xf numFmtId="0" fontId="2" fillId="0" borderId="14" xfId="0" applyFont="1" applyBorder="1" applyAlignment="1">
      <alignment horizontal="left" vertical="top" wrapText="1"/>
    </xf>
    <xf numFmtId="0" fontId="2" fillId="0" borderId="15" xfId="0" applyFont="1" applyBorder="1" applyAlignment="1">
      <alignment horizontal="left" vertical="top" wrapText="1"/>
    </xf>
    <xf numFmtId="0" fontId="17" fillId="0" borderId="14" xfId="0" applyFont="1" applyBorder="1" applyAlignment="1">
      <alignment horizontal="left" vertical="top" wrapText="1"/>
    </xf>
    <xf numFmtId="0" fontId="17" fillId="0" borderId="15" xfId="0" applyFont="1" applyBorder="1" applyAlignment="1">
      <alignment horizontal="left" vertical="top" wrapText="1"/>
    </xf>
    <xf numFmtId="0" fontId="58" fillId="0" borderId="0" xfId="0" applyFont="1" applyFill="1" applyAlignment="1">
      <alignment horizontal="center" vertical="center"/>
    </xf>
    <xf numFmtId="0" fontId="17" fillId="0" borderId="12" xfId="0" applyFont="1" applyBorder="1" applyAlignment="1">
      <alignment horizontal="left" vertical="top" wrapText="1"/>
    </xf>
    <xf numFmtId="3" fontId="58" fillId="0" borderId="0" xfId="0" applyNumberFormat="1" applyFont="1" applyAlignment="1">
      <alignment horizontal="center" vertical="top"/>
    </xf>
    <xf numFmtId="3" fontId="58" fillId="0" borderId="0" xfId="0" applyNumberFormat="1" applyFont="1" applyAlignment="1">
      <alignment horizontal="right" vertical="top"/>
    </xf>
    <xf numFmtId="0" fontId="58" fillId="0" borderId="0" xfId="0" applyFont="1" applyAlignment="1">
      <alignment horizontal="center"/>
    </xf>
    <xf numFmtId="0" fontId="58" fillId="0" borderId="0" xfId="0" applyFont="1" applyAlignment="1">
      <alignment horizontal="right"/>
    </xf>
    <xf numFmtId="0" fontId="38" fillId="0" borderId="12" xfId="0" applyFont="1" applyBorder="1" applyAlignment="1">
      <alignment horizontal="center" vertical="top" wrapText="1"/>
    </xf>
    <xf numFmtId="3" fontId="17" fillId="0" borderId="0" xfId="0" applyNumberFormat="1" applyFont="1" applyFill="1" applyAlignment="1">
      <alignment horizontal="right" vertical="top" wrapText="1"/>
    </xf>
    <xf numFmtId="0" fontId="17" fillId="0" borderId="0" xfId="0" applyFont="1" applyAlignment="1">
      <alignment horizontal="center"/>
    </xf>
    <xf numFmtId="0" fontId="17" fillId="0" borderId="12" xfId="0" applyFont="1" applyBorder="1" applyAlignment="1">
      <alignment horizontal="center"/>
    </xf>
    <xf numFmtId="0" fontId="38" fillId="0" borderId="12" xfId="0" applyFont="1" applyBorder="1" applyAlignment="1">
      <alignment horizontal="center" vertical="center"/>
    </xf>
    <xf numFmtId="3" fontId="17" fillId="0" borderId="0" xfId="0" applyNumberFormat="1" applyFont="1" applyFill="1" applyAlignment="1">
      <alignment horizontal="center" vertical="top" wrapText="1"/>
    </xf>
    <xf numFmtId="0" fontId="38" fillId="0" borderId="12" xfId="0" applyFont="1" applyFill="1" applyBorder="1" applyAlignment="1">
      <alignment horizontal="left" vertical="top"/>
    </xf>
    <xf numFmtId="0" fontId="58" fillId="0" borderId="0" xfId="0" applyFont="1" applyBorder="1" applyAlignment="1">
      <alignment horizontal="center"/>
    </xf>
    <xf numFmtId="0" fontId="58" fillId="0" borderId="0" xfId="0" applyFont="1" applyBorder="1" applyAlignment="1">
      <alignment horizontal="right"/>
    </xf>
    <xf numFmtId="0" fontId="38" fillId="0" borderId="12" xfId="0" applyFont="1" applyBorder="1" applyAlignment="1">
      <alignment horizontal="center"/>
    </xf>
    <xf numFmtId="0" fontId="12" fillId="0" borderId="14" xfId="0" applyFont="1" applyFill="1" applyBorder="1" applyAlignment="1">
      <alignment horizontal="left" wrapText="1"/>
    </xf>
    <xf numFmtId="0" fontId="12" fillId="0" borderId="15" xfId="0" applyFont="1" applyFill="1" applyBorder="1" applyAlignment="1">
      <alignment horizontal="left" wrapText="1"/>
    </xf>
    <xf numFmtId="0" fontId="5" fillId="0" borderId="14" xfId="0" applyFont="1" applyBorder="1" applyAlignment="1">
      <alignment horizontal="left" wrapText="1"/>
    </xf>
    <xf numFmtId="0" fontId="5" fillId="0" borderId="15" xfId="0" applyFont="1" applyBorder="1" applyAlignment="1">
      <alignment horizontal="left" wrapText="1"/>
    </xf>
    <xf numFmtId="0" fontId="30" fillId="0" borderId="0" xfId="0" applyFont="1" applyAlignment="1">
      <alignment horizontal="center" vertical="center" wrapText="1"/>
    </xf>
    <xf numFmtId="0" fontId="0" fillId="0" borderId="0" xfId="0" applyAlignment="1">
      <alignment horizontal="center"/>
    </xf>
    <xf numFmtId="0" fontId="12" fillId="0" borderId="14" xfId="0" applyFont="1" applyFill="1" applyBorder="1" applyAlignment="1">
      <alignment horizontal="center" vertical="center" wrapText="1"/>
    </xf>
    <xf numFmtId="0" fontId="12" fillId="0" borderId="15" xfId="0" applyFont="1" applyFill="1" applyBorder="1" applyAlignment="1">
      <alignment horizontal="center" vertical="center" wrapText="1"/>
    </xf>
    <xf numFmtId="4" fontId="82" fillId="0" borderId="0" xfId="0" applyNumberFormat="1" applyFont="1" applyBorder="1" applyAlignment="1" applyProtection="1">
      <alignment horizontal="right" vertical="center" wrapText="1"/>
    </xf>
    <xf numFmtId="4" fontId="112" fillId="0" borderId="37" xfId="0" applyNumberFormat="1" applyFont="1" applyBorder="1" applyAlignment="1" applyProtection="1">
      <alignment horizontal="right" vertical="center" wrapText="1"/>
    </xf>
    <xf numFmtId="0" fontId="29" fillId="0" borderId="0" xfId="0" applyFont="1" applyFill="1" applyBorder="1" applyAlignment="1">
      <alignment horizontal="center"/>
    </xf>
    <xf numFmtId="0" fontId="0" fillId="0" borderId="0" xfId="0" applyFill="1" applyBorder="1" applyAlignment="1">
      <alignment horizontal="center"/>
    </xf>
    <xf numFmtId="0" fontId="38" fillId="0" borderId="0" xfId="0" applyFont="1" applyFill="1" applyBorder="1" applyAlignment="1">
      <alignment horizontal="center"/>
    </xf>
    <xf numFmtId="0" fontId="17" fillId="0" borderId="12" xfId="0" applyFont="1" applyBorder="1" applyAlignment="1">
      <alignment horizontal="center" vertical="center" wrapText="1"/>
    </xf>
    <xf numFmtId="0" fontId="17" fillId="0" borderId="12" xfId="0" applyFont="1" applyFill="1" applyBorder="1" applyAlignment="1">
      <alignment horizontal="center" vertical="center" wrapText="1"/>
    </xf>
    <xf numFmtId="0" fontId="67" fillId="0" borderId="0" xfId="0" applyFont="1" applyFill="1" applyAlignment="1">
      <alignment horizontal="left"/>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58" fillId="0" borderId="0" xfId="0" applyFont="1" applyAlignment="1">
      <alignment horizontal="center" wrapText="1"/>
    </xf>
  </cellXfs>
  <cellStyles count="904">
    <cellStyle name="20% - Accent1" xfId="1"/>
    <cellStyle name="20% - Accent2" xfId="2"/>
    <cellStyle name="20% - Accent3" xfId="3"/>
    <cellStyle name="20% - Accent4" xfId="4"/>
    <cellStyle name="20% - Accent5" xfId="5"/>
    <cellStyle name="20% - Accent6" xfId="6"/>
    <cellStyle name="20% - Акцент1" xfId="7"/>
    <cellStyle name="20% - Акцент1 10" xfId="8"/>
    <cellStyle name="20% - Акцент1 11" xfId="9"/>
    <cellStyle name="20% - Акцент1 12" xfId="10"/>
    <cellStyle name="20% - Акцент1 13" xfId="11"/>
    <cellStyle name="20% - Акцент1 14" xfId="12"/>
    <cellStyle name="20% - Акцент1 15" xfId="13"/>
    <cellStyle name="20% - Акцент1 16" xfId="14"/>
    <cellStyle name="20% - Акцент1 17" xfId="15"/>
    <cellStyle name="20% - Акцент1 18" xfId="16"/>
    <cellStyle name="20% - Акцент1 19" xfId="17"/>
    <cellStyle name="20% - Акцент1 2" xfId="18"/>
    <cellStyle name="20% — акцент1 2" xfId="19"/>
    <cellStyle name="20% - Акцент1 2 2" xfId="20"/>
    <cellStyle name="20% - Акцент1 20" xfId="21"/>
    <cellStyle name="20% - Акцент1 21" xfId="22"/>
    <cellStyle name="20% - Акцент1 22" xfId="23"/>
    <cellStyle name="20% - Акцент1 3" xfId="24"/>
    <cellStyle name="20% — акцент1 3" xfId="25"/>
    <cellStyle name="20% - Акцент1 3_Примітка" xfId="26"/>
    <cellStyle name="20% - Акцент1 4" xfId="27"/>
    <cellStyle name="20% — акцент1 4" xfId="28"/>
    <cellStyle name="20% - Акцент1 5" xfId="29"/>
    <cellStyle name="20% — акцент1 5" xfId="30"/>
    <cellStyle name="20% - Акцент1 6" xfId="31"/>
    <cellStyle name="20% - Акцент1 7" xfId="32"/>
    <cellStyle name="20% - Акцент1 8" xfId="33"/>
    <cellStyle name="20% - Акцент1 9" xfId="34"/>
    <cellStyle name="20% - Акцент1_7" xfId="35"/>
    <cellStyle name="20% - Акцент2" xfId="36"/>
    <cellStyle name="20% - Акцент2 10" xfId="37"/>
    <cellStyle name="20% - Акцент2 11" xfId="38"/>
    <cellStyle name="20% - Акцент2 12" xfId="39"/>
    <cellStyle name="20% - Акцент2 13" xfId="40"/>
    <cellStyle name="20% - Акцент2 14" xfId="41"/>
    <cellStyle name="20% - Акцент2 15" xfId="42"/>
    <cellStyle name="20% - Акцент2 16" xfId="43"/>
    <cellStyle name="20% - Акцент2 17" xfId="44"/>
    <cellStyle name="20% - Акцент2 18" xfId="45"/>
    <cellStyle name="20% - Акцент2 19" xfId="46"/>
    <cellStyle name="20% - Акцент2 2" xfId="47"/>
    <cellStyle name="20% — акцент2 2" xfId="48"/>
    <cellStyle name="20% - Акцент2 2 2" xfId="49"/>
    <cellStyle name="20% - Акцент2 20" xfId="50"/>
    <cellStyle name="20% - Акцент2 21" xfId="51"/>
    <cellStyle name="20% - Акцент2 22" xfId="52"/>
    <cellStyle name="20% - Акцент2 3" xfId="53"/>
    <cellStyle name="20% — акцент2 3" xfId="54"/>
    <cellStyle name="20% - Акцент2 3_Примітка" xfId="55"/>
    <cellStyle name="20% - Акцент2 4" xfId="56"/>
    <cellStyle name="20% — акцент2 4" xfId="57"/>
    <cellStyle name="20% - Акцент2 5" xfId="58"/>
    <cellStyle name="20% — акцент2 5" xfId="59"/>
    <cellStyle name="20% - Акцент2 6" xfId="60"/>
    <cellStyle name="20% - Акцент2 7" xfId="61"/>
    <cellStyle name="20% - Акцент2 8" xfId="62"/>
    <cellStyle name="20% - Акцент2 9" xfId="63"/>
    <cellStyle name="20% - Акцент2_7" xfId="64"/>
    <cellStyle name="20% - Акцент3" xfId="65"/>
    <cellStyle name="20% - Акцент3 10" xfId="66"/>
    <cellStyle name="20% - Акцент3 11" xfId="67"/>
    <cellStyle name="20% - Акцент3 12" xfId="68"/>
    <cellStyle name="20% - Акцент3 13" xfId="69"/>
    <cellStyle name="20% - Акцент3 14" xfId="70"/>
    <cellStyle name="20% - Акцент3 15" xfId="71"/>
    <cellStyle name="20% - Акцент3 16" xfId="72"/>
    <cellStyle name="20% - Акцент3 17" xfId="73"/>
    <cellStyle name="20% - Акцент3 18" xfId="74"/>
    <cellStyle name="20% - Акцент3 19" xfId="75"/>
    <cellStyle name="20% - Акцент3 2" xfId="76"/>
    <cellStyle name="20% — акцент3 2" xfId="77"/>
    <cellStyle name="20% - Акцент3 2 2" xfId="78"/>
    <cellStyle name="20% - Акцент3 20" xfId="79"/>
    <cellStyle name="20% - Акцент3 21" xfId="80"/>
    <cellStyle name="20% - Акцент3 22" xfId="81"/>
    <cellStyle name="20% - Акцент3 3" xfId="82"/>
    <cellStyle name="20% — акцент3 3" xfId="83"/>
    <cellStyle name="20% - Акцент3 3_Примітка" xfId="84"/>
    <cellStyle name="20% - Акцент3 4" xfId="85"/>
    <cellStyle name="20% — акцент3 4" xfId="86"/>
    <cellStyle name="20% - Акцент3 5" xfId="87"/>
    <cellStyle name="20% — акцент3 5" xfId="88"/>
    <cellStyle name="20% - Акцент3 6" xfId="89"/>
    <cellStyle name="20% - Акцент3 7" xfId="90"/>
    <cellStyle name="20% - Акцент3 8" xfId="91"/>
    <cellStyle name="20% - Акцент3 9" xfId="92"/>
    <cellStyle name="20% - Акцент3_7" xfId="93"/>
    <cellStyle name="20% - Акцент4" xfId="94"/>
    <cellStyle name="20% - Акцент4 10" xfId="95"/>
    <cellStyle name="20% - Акцент4 11" xfId="96"/>
    <cellStyle name="20% - Акцент4 12" xfId="97"/>
    <cellStyle name="20% - Акцент4 13" xfId="98"/>
    <cellStyle name="20% - Акцент4 14" xfId="99"/>
    <cellStyle name="20% - Акцент4 15" xfId="100"/>
    <cellStyle name="20% - Акцент4 16" xfId="101"/>
    <cellStyle name="20% - Акцент4 17" xfId="102"/>
    <cellStyle name="20% - Акцент4 18" xfId="103"/>
    <cellStyle name="20% - Акцент4 19" xfId="104"/>
    <cellStyle name="20% - Акцент4 2" xfId="105"/>
    <cellStyle name="20% — акцент4 2" xfId="106"/>
    <cellStyle name="20% - Акцент4 2 2" xfId="107"/>
    <cellStyle name="20% - Акцент4 20" xfId="108"/>
    <cellStyle name="20% - Акцент4 21" xfId="109"/>
    <cellStyle name="20% - Акцент4 22" xfId="110"/>
    <cellStyle name="20% - Акцент4 3" xfId="111"/>
    <cellStyle name="20% — акцент4 3" xfId="112"/>
    <cellStyle name="20% - Акцент4 3_Примітка" xfId="113"/>
    <cellStyle name="20% - Акцент4 4" xfId="114"/>
    <cellStyle name="20% — акцент4 4" xfId="115"/>
    <cellStyle name="20% - Акцент4 5" xfId="116"/>
    <cellStyle name="20% — акцент4 5" xfId="117"/>
    <cellStyle name="20% - Акцент4 6" xfId="118"/>
    <cellStyle name="20% - Акцент4 7" xfId="119"/>
    <cellStyle name="20% - Акцент4 8" xfId="120"/>
    <cellStyle name="20% - Акцент4 9" xfId="121"/>
    <cellStyle name="20% - Акцент4_7" xfId="122"/>
    <cellStyle name="20% - Акцент5" xfId="123"/>
    <cellStyle name="20% - Акцент5 10" xfId="124"/>
    <cellStyle name="20% - Акцент5 11" xfId="125"/>
    <cellStyle name="20% - Акцент5 12" xfId="126"/>
    <cellStyle name="20% - Акцент5 13" xfId="127"/>
    <cellStyle name="20% - Акцент5 14" xfId="128"/>
    <cellStyle name="20% - Акцент5 15" xfId="129"/>
    <cellStyle name="20% - Акцент5 16" xfId="130"/>
    <cellStyle name="20% - Акцент5 17" xfId="131"/>
    <cellStyle name="20% - Акцент5 18" xfId="132"/>
    <cellStyle name="20% - Акцент5 19" xfId="133"/>
    <cellStyle name="20% - Акцент5 2" xfId="134"/>
    <cellStyle name="20% — акцент5 2" xfId="135"/>
    <cellStyle name="20% - Акцент5 2 2" xfId="136"/>
    <cellStyle name="20% - Акцент5 20" xfId="137"/>
    <cellStyle name="20% - Акцент5 21" xfId="138"/>
    <cellStyle name="20% - Акцент5 22" xfId="139"/>
    <cellStyle name="20% - Акцент5 3" xfId="140"/>
    <cellStyle name="20% — акцент5 3" xfId="141"/>
    <cellStyle name="20% - Акцент5 3_Примітка" xfId="142"/>
    <cellStyle name="20% - Акцент5 4" xfId="143"/>
    <cellStyle name="20% — акцент5 4" xfId="144"/>
    <cellStyle name="20% - Акцент5 5" xfId="145"/>
    <cellStyle name="20% — акцент5 5" xfId="146"/>
    <cellStyle name="20% - Акцент5 6" xfId="147"/>
    <cellStyle name="20% - Акцент5 7" xfId="148"/>
    <cellStyle name="20% - Акцент5 8" xfId="149"/>
    <cellStyle name="20% - Акцент5 9" xfId="150"/>
    <cellStyle name="20% - Акцент5_7" xfId="151"/>
    <cellStyle name="20% - Акцент6" xfId="152"/>
    <cellStyle name="20% - Акцент6 10" xfId="153"/>
    <cellStyle name="20% - Акцент6 11" xfId="154"/>
    <cellStyle name="20% - Акцент6 12" xfId="155"/>
    <cellStyle name="20% - Акцент6 13" xfId="156"/>
    <cellStyle name="20% - Акцент6 14" xfId="157"/>
    <cellStyle name="20% - Акцент6 15" xfId="158"/>
    <cellStyle name="20% - Акцент6 16" xfId="159"/>
    <cellStyle name="20% - Акцент6 17" xfId="160"/>
    <cellStyle name="20% - Акцент6 18" xfId="161"/>
    <cellStyle name="20% - Акцент6 19" xfId="162"/>
    <cellStyle name="20% - Акцент6 2" xfId="163"/>
    <cellStyle name="20% — акцент6 2" xfId="164"/>
    <cellStyle name="20% - Акцент6 2 2" xfId="165"/>
    <cellStyle name="20% - Акцент6 20" xfId="166"/>
    <cellStyle name="20% - Акцент6 21" xfId="167"/>
    <cellStyle name="20% - Акцент6 22" xfId="168"/>
    <cellStyle name="20% - Акцент6 3" xfId="169"/>
    <cellStyle name="20% — акцент6 3" xfId="170"/>
    <cellStyle name="20% - Акцент6 3_Примітка" xfId="171"/>
    <cellStyle name="20% - Акцент6 4" xfId="172"/>
    <cellStyle name="20% — акцент6 4" xfId="173"/>
    <cellStyle name="20% - Акцент6 5" xfId="174"/>
    <cellStyle name="20% — акцент6 5" xfId="175"/>
    <cellStyle name="20% - Акцент6 6" xfId="176"/>
    <cellStyle name="20% - Акцент6 7" xfId="177"/>
    <cellStyle name="20% - Акцент6 8" xfId="178"/>
    <cellStyle name="20% - Акцент6 9" xfId="179"/>
    <cellStyle name="20% - Акцент6_7" xfId="180"/>
    <cellStyle name="20% – Акцентування1" xfId="181"/>
    <cellStyle name="20% – Акцентування1 2" xfId="182"/>
    <cellStyle name="20% – Акцентування1_Лист2" xfId="183"/>
    <cellStyle name="20% – Акцентування2" xfId="184"/>
    <cellStyle name="20% – Акцентування2 2" xfId="185"/>
    <cellStyle name="20% – Акцентування2_Лист2" xfId="186"/>
    <cellStyle name="20% – Акцентування3" xfId="187"/>
    <cellStyle name="20% – Акцентування3 2" xfId="188"/>
    <cellStyle name="20% – Акцентування3_Лист2" xfId="189"/>
    <cellStyle name="20% – Акцентування4" xfId="190"/>
    <cellStyle name="20% – Акцентування4 2" xfId="191"/>
    <cellStyle name="20% – Акцентування4_Лист2" xfId="192"/>
    <cellStyle name="20% – Акцентування5" xfId="193"/>
    <cellStyle name="20% – Акцентування5 2" xfId="194"/>
    <cellStyle name="20% – Акцентування5_Лист2" xfId="195"/>
    <cellStyle name="20% – Акцентування6" xfId="196"/>
    <cellStyle name="20% – Акцентування6 2" xfId="197"/>
    <cellStyle name="20% – Акцентування6_Лист2" xfId="198"/>
    <cellStyle name="40% - Accent1" xfId="199"/>
    <cellStyle name="40% - Accent2" xfId="200"/>
    <cellStyle name="40% - Accent3" xfId="201"/>
    <cellStyle name="40% - Accent4" xfId="202"/>
    <cellStyle name="40% - Accent5" xfId="203"/>
    <cellStyle name="40% - Accent6" xfId="204"/>
    <cellStyle name="40% - Акцент1" xfId="205"/>
    <cellStyle name="40% - Акцент1 10" xfId="206"/>
    <cellStyle name="40% - Акцент1 11" xfId="207"/>
    <cellStyle name="40% - Акцент1 12" xfId="208"/>
    <cellStyle name="40% - Акцент1 13" xfId="209"/>
    <cellStyle name="40% - Акцент1 14" xfId="210"/>
    <cellStyle name="40% - Акцент1 15" xfId="211"/>
    <cellStyle name="40% - Акцент1 16" xfId="212"/>
    <cellStyle name="40% - Акцент1 17" xfId="213"/>
    <cellStyle name="40% - Акцент1 18" xfId="214"/>
    <cellStyle name="40% - Акцент1 19" xfId="215"/>
    <cellStyle name="40% - Акцент1 2" xfId="216"/>
    <cellStyle name="40% - Акцент1 2 2" xfId="217"/>
    <cellStyle name="40% - Акцент1 20" xfId="218"/>
    <cellStyle name="40% - Акцент1 21" xfId="219"/>
    <cellStyle name="40% - Акцент1 22" xfId="220"/>
    <cellStyle name="40% - Акцент1 3" xfId="221"/>
    <cellStyle name="40% - Акцент1 4" xfId="222"/>
    <cellStyle name="40% - Акцент1 5" xfId="223"/>
    <cellStyle name="40% - Акцент1 6" xfId="224"/>
    <cellStyle name="40% - Акцент1 7" xfId="225"/>
    <cellStyle name="40% - Акцент1 8" xfId="226"/>
    <cellStyle name="40% - Акцент1 9" xfId="227"/>
    <cellStyle name="40% - Акцент1_7" xfId="228"/>
    <cellStyle name="40% - Акцент2" xfId="229"/>
    <cellStyle name="40% - Акцент2 10" xfId="230"/>
    <cellStyle name="40% - Акцент2 11" xfId="231"/>
    <cellStyle name="40% - Акцент2 12" xfId="232"/>
    <cellStyle name="40% - Акцент2 13" xfId="233"/>
    <cellStyle name="40% - Акцент2 14" xfId="234"/>
    <cellStyle name="40% - Акцент2 15" xfId="235"/>
    <cellStyle name="40% - Акцент2 16" xfId="236"/>
    <cellStyle name="40% - Акцент2 17" xfId="237"/>
    <cellStyle name="40% - Акцент2 18" xfId="238"/>
    <cellStyle name="40% - Акцент2 19" xfId="239"/>
    <cellStyle name="40% - Акцент2 2" xfId="240"/>
    <cellStyle name="40% — акцент2 2" xfId="241"/>
    <cellStyle name="40% - Акцент2 2 2" xfId="242"/>
    <cellStyle name="40% - Акцент2 20" xfId="243"/>
    <cellStyle name="40% - Акцент2 21" xfId="244"/>
    <cellStyle name="40% - Акцент2 22" xfId="245"/>
    <cellStyle name="40% - Акцент2 3" xfId="246"/>
    <cellStyle name="40% — акцент2 3" xfId="247"/>
    <cellStyle name="40% - Акцент2 3_Примітка" xfId="248"/>
    <cellStyle name="40% - Акцент2 4" xfId="249"/>
    <cellStyle name="40% — акцент2 4" xfId="250"/>
    <cellStyle name="40% - Акцент2 5" xfId="251"/>
    <cellStyle name="40% — акцент2 5" xfId="252"/>
    <cellStyle name="40% - Акцент2 6" xfId="253"/>
    <cellStyle name="40% - Акцент2 7" xfId="254"/>
    <cellStyle name="40% - Акцент2 8" xfId="255"/>
    <cellStyle name="40% - Акцент2 9" xfId="256"/>
    <cellStyle name="40% - Акцент2_7" xfId="257"/>
    <cellStyle name="40% - Акцент3" xfId="258"/>
    <cellStyle name="40% - Акцент3 10" xfId="259"/>
    <cellStyle name="40% - Акцент3 11" xfId="260"/>
    <cellStyle name="40% - Акцент3 12" xfId="261"/>
    <cellStyle name="40% - Акцент3 13" xfId="262"/>
    <cellStyle name="40% - Акцент3 14" xfId="263"/>
    <cellStyle name="40% - Акцент3 15" xfId="264"/>
    <cellStyle name="40% - Акцент3 16" xfId="265"/>
    <cellStyle name="40% - Акцент3 17" xfId="266"/>
    <cellStyle name="40% - Акцент3 18" xfId="267"/>
    <cellStyle name="40% - Акцент3 19" xfId="268"/>
    <cellStyle name="40% - Акцент3 2" xfId="269"/>
    <cellStyle name="40% — акцент3 2" xfId="270"/>
    <cellStyle name="40% - Акцент3 2 2" xfId="271"/>
    <cellStyle name="40% - Акцент3 20" xfId="272"/>
    <cellStyle name="40% - Акцент3 21" xfId="273"/>
    <cellStyle name="40% - Акцент3 22" xfId="274"/>
    <cellStyle name="40% - Акцент3 3" xfId="275"/>
    <cellStyle name="40% — акцент3 3" xfId="276"/>
    <cellStyle name="40% - Акцент3 3_Примітка" xfId="277"/>
    <cellStyle name="40% - Акцент3 4" xfId="278"/>
    <cellStyle name="40% — акцент3 4" xfId="279"/>
    <cellStyle name="40% - Акцент3 5" xfId="280"/>
    <cellStyle name="40% — акцент3 5" xfId="281"/>
    <cellStyle name="40% - Акцент3 6" xfId="282"/>
    <cellStyle name="40% - Акцент3 7" xfId="283"/>
    <cellStyle name="40% - Акцент3 8" xfId="284"/>
    <cellStyle name="40% - Акцент3 9" xfId="285"/>
    <cellStyle name="40% - Акцент3_7" xfId="286"/>
    <cellStyle name="40% - Акцент4" xfId="287"/>
    <cellStyle name="40% - Акцент4 10" xfId="288"/>
    <cellStyle name="40% - Акцент4 11" xfId="289"/>
    <cellStyle name="40% - Акцент4 12" xfId="290"/>
    <cellStyle name="40% - Акцент4 13" xfId="291"/>
    <cellStyle name="40% - Акцент4 14" xfId="292"/>
    <cellStyle name="40% - Акцент4 15" xfId="293"/>
    <cellStyle name="40% - Акцент4 16" xfId="294"/>
    <cellStyle name="40% - Акцент4 17" xfId="295"/>
    <cellStyle name="40% - Акцент4 18" xfId="296"/>
    <cellStyle name="40% - Акцент4 19" xfId="297"/>
    <cellStyle name="40% - Акцент4 2" xfId="298"/>
    <cellStyle name="40% — акцент4 2" xfId="299"/>
    <cellStyle name="40% - Акцент4 2 2" xfId="300"/>
    <cellStyle name="40% - Акцент4 20" xfId="301"/>
    <cellStyle name="40% - Акцент4 21" xfId="302"/>
    <cellStyle name="40% - Акцент4 22" xfId="303"/>
    <cellStyle name="40% - Акцент4 3" xfId="304"/>
    <cellStyle name="40% — акцент4 3" xfId="305"/>
    <cellStyle name="40% - Акцент4 3_Примітка" xfId="306"/>
    <cellStyle name="40% - Акцент4 4" xfId="307"/>
    <cellStyle name="40% — акцент4 4" xfId="308"/>
    <cellStyle name="40% - Акцент4 5" xfId="309"/>
    <cellStyle name="40% — акцент4 5" xfId="310"/>
    <cellStyle name="40% - Акцент4 6" xfId="311"/>
    <cellStyle name="40% - Акцент4 7" xfId="312"/>
    <cellStyle name="40% - Акцент4 8" xfId="313"/>
    <cellStyle name="40% - Акцент4 9" xfId="314"/>
    <cellStyle name="40% - Акцент4_7" xfId="315"/>
    <cellStyle name="40% - Акцент5" xfId="316"/>
    <cellStyle name="40% - Акцент5 10" xfId="317"/>
    <cellStyle name="40% - Акцент5 11" xfId="318"/>
    <cellStyle name="40% - Акцент5 12" xfId="319"/>
    <cellStyle name="40% - Акцент5 13" xfId="320"/>
    <cellStyle name="40% - Акцент5 14" xfId="321"/>
    <cellStyle name="40% - Акцент5 15" xfId="322"/>
    <cellStyle name="40% - Акцент5 16" xfId="323"/>
    <cellStyle name="40% - Акцент5 17" xfId="324"/>
    <cellStyle name="40% - Акцент5 18" xfId="325"/>
    <cellStyle name="40% - Акцент5 19" xfId="326"/>
    <cellStyle name="40% - Акцент5 2" xfId="327"/>
    <cellStyle name="40% - Акцент5 2 2" xfId="328"/>
    <cellStyle name="40% - Акцент5 20" xfId="329"/>
    <cellStyle name="40% - Акцент5 21" xfId="330"/>
    <cellStyle name="40% - Акцент5 22" xfId="331"/>
    <cellStyle name="40% - Акцент5 3" xfId="332"/>
    <cellStyle name="40% - Акцент5 4" xfId="333"/>
    <cellStyle name="40% - Акцент5 5" xfId="334"/>
    <cellStyle name="40% - Акцент5 6" xfId="335"/>
    <cellStyle name="40% - Акцент5 7" xfId="336"/>
    <cellStyle name="40% - Акцент5 8" xfId="337"/>
    <cellStyle name="40% - Акцент5 9" xfId="338"/>
    <cellStyle name="40% - Акцент5_7" xfId="339"/>
    <cellStyle name="40% - Акцент6" xfId="340"/>
    <cellStyle name="40% - Акцент6 10" xfId="341"/>
    <cellStyle name="40% - Акцент6 11" xfId="342"/>
    <cellStyle name="40% - Акцент6 12" xfId="343"/>
    <cellStyle name="40% - Акцент6 13" xfId="344"/>
    <cellStyle name="40% - Акцент6 14" xfId="345"/>
    <cellStyle name="40% - Акцент6 15" xfId="346"/>
    <cellStyle name="40% - Акцент6 16" xfId="347"/>
    <cellStyle name="40% - Акцент6 17" xfId="348"/>
    <cellStyle name="40% - Акцент6 18" xfId="349"/>
    <cellStyle name="40% - Акцент6 19" xfId="350"/>
    <cellStyle name="40% - Акцент6 2" xfId="351"/>
    <cellStyle name="40% — акцент6 2" xfId="352"/>
    <cellStyle name="40% - Акцент6 2 2" xfId="353"/>
    <cellStyle name="40% - Акцент6 20" xfId="354"/>
    <cellStyle name="40% - Акцент6 21" xfId="355"/>
    <cellStyle name="40% - Акцент6 22" xfId="356"/>
    <cellStyle name="40% - Акцент6 3" xfId="357"/>
    <cellStyle name="40% — акцент6 3" xfId="358"/>
    <cellStyle name="40% - Акцент6 3_Примітка" xfId="359"/>
    <cellStyle name="40% - Акцент6 4" xfId="360"/>
    <cellStyle name="40% — акцент6 4" xfId="361"/>
    <cellStyle name="40% - Акцент6 5" xfId="362"/>
    <cellStyle name="40% — акцент6 5" xfId="363"/>
    <cellStyle name="40% - Акцент6 6" xfId="364"/>
    <cellStyle name="40% - Акцент6 7" xfId="365"/>
    <cellStyle name="40% - Акцент6 8" xfId="366"/>
    <cellStyle name="40% - Акцент6 9" xfId="367"/>
    <cellStyle name="40% - Акцент6_7" xfId="368"/>
    <cellStyle name="40% – Акцентування1" xfId="369"/>
    <cellStyle name="40% – Акцентування1 2" xfId="370"/>
    <cellStyle name="40% – Акцентування2" xfId="371"/>
    <cellStyle name="40% – Акцентування2 2" xfId="372"/>
    <cellStyle name="40% – Акцентування2_Лист2" xfId="373"/>
    <cellStyle name="40% – Акцентування3" xfId="374"/>
    <cellStyle name="40% – Акцентування3 2" xfId="375"/>
    <cellStyle name="40% – Акцентування3_Лист2" xfId="376"/>
    <cellStyle name="40% – Акцентування4" xfId="377"/>
    <cellStyle name="40% – Акцентування4 2" xfId="378"/>
    <cellStyle name="40% – Акцентування4_Лист2" xfId="379"/>
    <cellStyle name="40% – Акцентування5" xfId="380"/>
    <cellStyle name="40% – Акцентування5 2" xfId="381"/>
    <cellStyle name="40% – Акцентування6" xfId="382"/>
    <cellStyle name="40% – Акцентування6 2" xfId="383"/>
    <cellStyle name="40% – Акцентування6_Лист2" xfId="384"/>
    <cellStyle name="60% - Accent1" xfId="385"/>
    <cellStyle name="60% - Accent2" xfId="386"/>
    <cellStyle name="60% - Accent3" xfId="387"/>
    <cellStyle name="60% - Accent4" xfId="388"/>
    <cellStyle name="60% - Accent5" xfId="389"/>
    <cellStyle name="60% - Accent6" xfId="390"/>
    <cellStyle name="60% - Акцент1" xfId="391"/>
    <cellStyle name="60% - Акцент1 10" xfId="392"/>
    <cellStyle name="60% - Акцент1 11" xfId="393"/>
    <cellStyle name="60% - Акцент1 12" xfId="394"/>
    <cellStyle name="60% - Акцент1 13" xfId="395"/>
    <cellStyle name="60% - Акцент1 14" xfId="396"/>
    <cellStyle name="60% - Акцент1 15" xfId="397"/>
    <cellStyle name="60% - Акцент1 16" xfId="398"/>
    <cellStyle name="60% - Акцент1 17" xfId="399"/>
    <cellStyle name="60% - Акцент1 18" xfId="400"/>
    <cellStyle name="60% - Акцент1 19" xfId="401"/>
    <cellStyle name="60% - Акцент1 2" xfId="402"/>
    <cellStyle name="60% — акцент1 2" xfId="403"/>
    <cellStyle name="60% - Акцент1 2 2" xfId="404"/>
    <cellStyle name="60% - Акцент1 20" xfId="405"/>
    <cellStyle name="60% - Акцент1 21" xfId="406"/>
    <cellStyle name="60% - Акцент1 22" xfId="407"/>
    <cellStyle name="60% - Акцент1 3" xfId="408"/>
    <cellStyle name="60% — акцент1 3" xfId="409"/>
    <cellStyle name="60% - Акцент1 3_Примітка" xfId="410"/>
    <cellStyle name="60% - Акцент1 4" xfId="411"/>
    <cellStyle name="60% — акцент1 4" xfId="412"/>
    <cellStyle name="60% - Акцент1 5" xfId="413"/>
    <cellStyle name="60% — акцент1 5" xfId="414"/>
    <cellStyle name="60% - Акцент1 6" xfId="415"/>
    <cellStyle name="60% - Акцент1 7" xfId="416"/>
    <cellStyle name="60% - Акцент1 8" xfId="417"/>
    <cellStyle name="60% - Акцент1 9" xfId="418"/>
    <cellStyle name="60% - Акцент1_ZEMLYA_305" xfId="419"/>
    <cellStyle name="60% - Акцент2" xfId="420"/>
    <cellStyle name="60% - Акцент2 10" xfId="421"/>
    <cellStyle name="60% - Акцент2 11" xfId="422"/>
    <cellStyle name="60% - Акцент2 12" xfId="423"/>
    <cellStyle name="60% - Акцент2 13" xfId="424"/>
    <cellStyle name="60% - Акцент2 14" xfId="425"/>
    <cellStyle name="60% - Акцент2 15" xfId="426"/>
    <cellStyle name="60% - Акцент2 16" xfId="427"/>
    <cellStyle name="60% - Акцент2 17" xfId="428"/>
    <cellStyle name="60% - Акцент2 18" xfId="429"/>
    <cellStyle name="60% - Акцент2 19" xfId="430"/>
    <cellStyle name="60% - Акцент2 2" xfId="431"/>
    <cellStyle name="60% — акцент2 2" xfId="432"/>
    <cellStyle name="60% - Акцент2 2 2" xfId="433"/>
    <cellStyle name="60% - Акцент2 20" xfId="434"/>
    <cellStyle name="60% - Акцент2 21" xfId="435"/>
    <cellStyle name="60% - Акцент2 22" xfId="436"/>
    <cellStyle name="60% - Акцент2 3" xfId="437"/>
    <cellStyle name="60% — акцент2 3" xfId="438"/>
    <cellStyle name="60% - Акцент2 3_Примітка" xfId="439"/>
    <cellStyle name="60% - Акцент2 4" xfId="440"/>
    <cellStyle name="60% — акцент2 4" xfId="441"/>
    <cellStyle name="60% - Акцент2 5" xfId="442"/>
    <cellStyle name="60% — акцент2 5" xfId="443"/>
    <cellStyle name="60% - Акцент2 6" xfId="444"/>
    <cellStyle name="60% - Акцент2 7" xfId="445"/>
    <cellStyle name="60% - Акцент2 8" xfId="446"/>
    <cellStyle name="60% - Акцент2 9" xfId="447"/>
    <cellStyle name="60% - Акцент2_ZEMLYA_305" xfId="448"/>
    <cellStyle name="60% - Акцент3" xfId="449"/>
    <cellStyle name="60% - Акцент3 10" xfId="450"/>
    <cellStyle name="60% - Акцент3 11" xfId="451"/>
    <cellStyle name="60% - Акцент3 12" xfId="452"/>
    <cellStyle name="60% - Акцент3 13" xfId="453"/>
    <cellStyle name="60% - Акцент3 14" xfId="454"/>
    <cellStyle name="60% - Акцент3 15" xfId="455"/>
    <cellStyle name="60% - Акцент3 16" xfId="456"/>
    <cellStyle name="60% - Акцент3 17" xfId="457"/>
    <cellStyle name="60% - Акцент3 18" xfId="458"/>
    <cellStyle name="60% - Акцент3 19" xfId="459"/>
    <cellStyle name="60% - Акцент3 2" xfId="460"/>
    <cellStyle name="60% — акцент3 2" xfId="461"/>
    <cellStyle name="60% - Акцент3 2 2" xfId="462"/>
    <cellStyle name="60% - Акцент3 20" xfId="463"/>
    <cellStyle name="60% - Акцент3 21" xfId="464"/>
    <cellStyle name="60% - Акцент3 22" xfId="465"/>
    <cellStyle name="60% - Акцент3 3" xfId="466"/>
    <cellStyle name="60% — акцент3 3" xfId="467"/>
    <cellStyle name="60% - Акцент3 3_Примітка" xfId="468"/>
    <cellStyle name="60% - Акцент3 4" xfId="469"/>
    <cellStyle name="60% — акцент3 4" xfId="470"/>
    <cellStyle name="60% - Акцент3 5" xfId="471"/>
    <cellStyle name="60% — акцент3 5" xfId="472"/>
    <cellStyle name="60% - Акцент3 6" xfId="473"/>
    <cellStyle name="60% - Акцент3 7" xfId="474"/>
    <cellStyle name="60% - Акцент3 8" xfId="475"/>
    <cellStyle name="60% - Акцент3 9" xfId="476"/>
    <cellStyle name="60% - Акцент3_ZEMLYA_305" xfId="477"/>
    <cellStyle name="60% - Акцент4" xfId="478"/>
    <cellStyle name="60% - Акцент4 10" xfId="479"/>
    <cellStyle name="60% - Акцент4 11" xfId="480"/>
    <cellStyle name="60% - Акцент4 12" xfId="481"/>
    <cellStyle name="60% - Акцент4 13" xfId="482"/>
    <cellStyle name="60% - Акцент4 14" xfId="483"/>
    <cellStyle name="60% - Акцент4 15" xfId="484"/>
    <cellStyle name="60% - Акцент4 16" xfId="485"/>
    <cellStyle name="60% - Акцент4 17" xfId="486"/>
    <cellStyle name="60% - Акцент4 18" xfId="487"/>
    <cellStyle name="60% - Акцент4 19" xfId="488"/>
    <cellStyle name="60% - Акцент4 2" xfId="489"/>
    <cellStyle name="60% — акцент4 2" xfId="490"/>
    <cellStyle name="60% - Акцент4 2 2" xfId="491"/>
    <cellStyle name="60% - Акцент4 20" xfId="492"/>
    <cellStyle name="60% - Акцент4 21" xfId="493"/>
    <cellStyle name="60% - Акцент4 22" xfId="494"/>
    <cellStyle name="60% - Акцент4 3" xfId="495"/>
    <cellStyle name="60% — акцент4 3" xfId="496"/>
    <cellStyle name="60% - Акцент4 3_Примітка" xfId="497"/>
    <cellStyle name="60% - Акцент4 4" xfId="498"/>
    <cellStyle name="60% — акцент4 4" xfId="499"/>
    <cellStyle name="60% - Акцент4 5" xfId="500"/>
    <cellStyle name="60% — акцент4 5" xfId="501"/>
    <cellStyle name="60% - Акцент4 6" xfId="502"/>
    <cellStyle name="60% - Акцент4 7" xfId="503"/>
    <cellStyle name="60% - Акцент4 8" xfId="504"/>
    <cellStyle name="60% - Акцент4 9" xfId="505"/>
    <cellStyle name="60% - Акцент4_ZEMLYA_305" xfId="506"/>
    <cellStyle name="60% - Акцент5" xfId="507"/>
    <cellStyle name="60% - Акцент5 10" xfId="508"/>
    <cellStyle name="60% - Акцент5 11" xfId="509"/>
    <cellStyle name="60% - Акцент5 12" xfId="510"/>
    <cellStyle name="60% - Акцент5 13" xfId="511"/>
    <cellStyle name="60% - Акцент5 14" xfId="512"/>
    <cellStyle name="60% - Акцент5 15" xfId="513"/>
    <cellStyle name="60% - Акцент5 16" xfId="514"/>
    <cellStyle name="60% - Акцент5 17" xfId="515"/>
    <cellStyle name="60% - Акцент5 18" xfId="516"/>
    <cellStyle name="60% - Акцент5 19" xfId="517"/>
    <cellStyle name="60% - Акцент5 2" xfId="518"/>
    <cellStyle name="60% - Акцент5 2 2" xfId="519"/>
    <cellStyle name="60% - Акцент5 20" xfId="520"/>
    <cellStyle name="60% - Акцент5 21" xfId="521"/>
    <cellStyle name="60% - Акцент5 22" xfId="522"/>
    <cellStyle name="60% - Акцент5 3" xfId="523"/>
    <cellStyle name="60% - Акцент5 4" xfId="524"/>
    <cellStyle name="60% - Акцент5 5" xfId="525"/>
    <cellStyle name="60% - Акцент5 6" xfId="526"/>
    <cellStyle name="60% - Акцент5 7" xfId="527"/>
    <cellStyle name="60% - Акцент5 8" xfId="528"/>
    <cellStyle name="60% - Акцент5 9" xfId="529"/>
    <cellStyle name="60% - Акцент5_ZEMLYA_305" xfId="530"/>
    <cellStyle name="60% - Акцент6" xfId="531"/>
    <cellStyle name="60% - Акцент6 10" xfId="532"/>
    <cellStyle name="60% - Акцент6 11" xfId="533"/>
    <cellStyle name="60% - Акцент6 12" xfId="534"/>
    <cellStyle name="60% - Акцент6 13" xfId="535"/>
    <cellStyle name="60% - Акцент6 14" xfId="536"/>
    <cellStyle name="60% - Акцент6 15" xfId="537"/>
    <cellStyle name="60% - Акцент6 16" xfId="538"/>
    <cellStyle name="60% - Акцент6 17" xfId="539"/>
    <cellStyle name="60% - Акцент6 18" xfId="540"/>
    <cellStyle name="60% - Акцент6 19" xfId="541"/>
    <cellStyle name="60% - Акцент6 2" xfId="542"/>
    <cellStyle name="60% — акцент6 2" xfId="543"/>
    <cellStyle name="60% - Акцент6 2 2" xfId="544"/>
    <cellStyle name="60% - Акцент6 20" xfId="545"/>
    <cellStyle name="60% - Акцент6 21" xfId="546"/>
    <cellStyle name="60% - Акцент6 22" xfId="547"/>
    <cellStyle name="60% - Акцент6 3" xfId="548"/>
    <cellStyle name="60% — акцент6 3" xfId="549"/>
    <cellStyle name="60% - Акцент6 3_Примітка" xfId="550"/>
    <cellStyle name="60% - Акцент6 4" xfId="551"/>
    <cellStyle name="60% — акцент6 4" xfId="552"/>
    <cellStyle name="60% - Акцент6 5" xfId="553"/>
    <cellStyle name="60% — акцент6 5" xfId="554"/>
    <cellStyle name="60% - Акцент6 6" xfId="555"/>
    <cellStyle name="60% - Акцент6 7" xfId="556"/>
    <cellStyle name="60% - Акцент6 8" xfId="557"/>
    <cellStyle name="60% - Акцент6 9" xfId="558"/>
    <cellStyle name="60% - Акцент6_ZEMLYA_305" xfId="559"/>
    <cellStyle name="60% – Акцентування1" xfId="560"/>
    <cellStyle name="60% – Акцентування1 2" xfId="561"/>
    <cellStyle name="60% – Акцентування1_Лист2" xfId="562"/>
    <cellStyle name="60% – Акцентування2" xfId="563"/>
    <cellStyle name="60% – Акцентування2 2" xfId="564"/>
    <cellStyle name="60% – Акцентування2_Лист2" xfId="565"/>
    <cellStyle name="60% – Акцентування3" xfId="566"/>
    <cellStyle name="60% – Акцентування3 2" xfId="567"/>
    <cellStyle name="60% – Акцентування3_Лист2" xfId="568"/>
    <cellStyle name="60% – Акцентування4" xfId="569"/>
    <cellStyle name="60% – Акцентування4 2" xfId="570"/>
    <cellStyle name="60% – Акцентування4_Лист2" xfId="571"/>
    <cellStyle name="60% – Акцентування5" xfId="572"/>
    <cellStyle name="60% – Акцентування5 2" xfId="573"/>
    <cellStyle name="60% – Акцентування6" xfId="574"/>
    <cellStyle name="60% – Акцентування6 2" xfId="575"/>
    <cellStyle name="60% – Акцентування6_Лист2" xfId="576"/>
    <cellStyle name="Aaia?iue [0]_laroux" xfId="577"/>
    <cellStyle name="Aaia?iue_laroux" xfId="578"/>
    <cellStyle name="Accent1" xfId="579"/>
    <cellStyle name="Accent2" xfId="580"/>
    <cellStyle name="Accent3" xfId="581"/>
    <cellStyle name="Accent4" xfId="582"/>
    <cellStyle name="Accent5" xfId="583"/>
    <cellStyle name="Accent6" xfId="584"/>
    <cellStyle name="Bad" xfId="585"/>
    <cellStyle name="C?O" xfId="586"/>
    <cellStyle name="Calculation" xfId="587"/>
    <cellStyle name="Cena$" xfId="588"/>
    <cellStyle name="CenaZ?" xfId="589"/>
    <cellStyle name="Ceny$" xfId="590"/>
    <cellStyle name="CenyZ?" xfId="591"/>
    <cellStyle name="Check Cell" xfId="592"/>
    <cellStyle name="Comma [0]_1996-1997-план 10 місяців" xfId="593"/>
    <cellStyle name="Comma_1996-1997-план 10 місяців" xfId="594"/>
    <cellStyle name="Currency [0]_1996-1997-план 10 місяців" xfId="595"/>
    <cellStyle name="Currency_1996-1997-план 10 місяців" xfId="596"/>
    <cellStyle name="Data" xfId="597"/>
    <cellStyle name="Dziesietny [0]_Arkusz1" xfId="598"/>
    <cellStyle name="Dziesietny_Arkusz1" xfId="599"/>
    <cellStyle name="Excel Built-in Normal" xfId="600"/>
    <cellStyle name="Explanatory Text" xfId="601"/>
    <cellStyle name="Followed Hyperlink" xfId="602"/>
    <cellStyle name="Good" xfId="603"/>
    <cellStyle name="Heading 1" xfId="604"/>
    <cellStyle name="Heading 2" xfId="605"/>
    <cellStyle name="Heading 3" xfId="606"/>
    <cellStyle name="Heading 4" xfId="607"/>
    <cellStyle name="Headline I" xfId="608"/>
    <cellStyle name="Headline II" xfId="609"/>
    <cellStyle name="Headline III" xfId="610"/>
    <cellStyle name="Hyperlink" xfId="611"/>
    <cellStyle name="Iau?iue_laroux" xfId="612"/>
    <cellStyle name="Input" xfId="613"/>
    <cellStyle name="Linked Cell" xfId="614"/>
    <cellStyle name="Marza" xfId="615"/>
    <cellStyle name="Marza%" xfId="616"/>
    <cellStyle name="Nazwa" xfId="617"/>
    <cellStyle name="Neutral" xfId="618"/>
    <cellStyle name="Normal_1996-1997-план 10 місяців" xfId="619"/>
    <cellStyle name="normalni_laroux" xfId="620"/>
    <cellStyle name="Normalny_A-FOUR TECH" xfId="621"/>
    <cellStyle name="Note" xfId="622"/>
    <cellStyle name="Oeiainiaue [0]_laroux" xfId="623"/>
    <cellStyle name="Oeiainiaue_laroux" xfId="624"/>
    <cellStyle name="Output" xfId="625"/>
    <cellStyle name="Title" xfId="626"/>
    <cellStyle name="Total" xfId="627"/>
    <cellStyle name="TrOds" xfId="628"/>
    <cellStyle name="Tytul" xfId="629"/>
    <cellStyle name="Walutowy [0]_Arkusz1" xfId="630"/>
    <cellStyle name="Walutowy_Arkusz1" xfId="631"/>
    <cellStyle name="Warning Text" xfId="632"/>
    <cellStyle name="Акцент1 2" xfId="633"/>
    <cellStyle name="Акцент1 2 2" xfId="634"/>
    <cellStyle name="Акцент1 3" xfId="635"/>
    <cellStyle name="Акцент2 2" xfId="636"/>
    <cellStyle name="Акцент2 2 2" xfId="637"/>
    <cellStyle name="Акцент2 3" xfId="638"/>
    <cellStyle name="Акцент3 2" xfId="639"/>
    <cellStyle name="Акцент3 2 2" xfId="640"/>
    <cellStyle name="Акцент3 3" xfId="641"/>
    <cellStyle name="Акцент4 2" xfId="642"/>
    <cellStyle name="Акцент4 2 2" xfId="643"/>
    <cellStyle name="Акцент4 3" xfId="644"/>
    <cellStyle name="Акцент5 2" xfId="645"/>
    <cellStyle name="Акцент5 2 2" xfId="646"/>
    <cellStyle name="Акцент5 3" xfId="647"/>
    <cellStyle name="Акцент6 2" xfId="648"/>
    <cellStyle name="Акцент6 2 2" xfId="649"/>
    <cellStyle name="Акцент6 3" xfId="650"/>
    <cellStyle name="Акцентування1" xfId="651"/>
    <cellStyle name="Акцентування1 2" xfId="652"/>
    <cellStyle name="Акцентування1_Лист2" xfId="653"/>
    <cellStyle name="Акцентування2" xfId="654"/>
    <cellStyle name="Акцентування2 2" xfId="655"/>
    <cellStyle name="Акцентування2_Лист2" xfId="656"/>
    <cellStyle name="Акцентування3" xfId="657"/>
    <cellStyle name="Акцентування3 2" xfId="658"/>
    <cellStyle name="Акцентування3_Лист2" xfId="659"/>
    <cellStyle name="Акцентування4" xfId="660"/>
    <cellStyle name="Акцентування4 2" xfId="661"/>
    <cellStyle name="Акцентування4_Лист2" xfId="662"/>
    <cellStyle name="Акцентування5" xfId="663"/>
    <cellStyle name="Акцентування5 2" xfId="664"/>
    <cellStyle name="Акцентування5_Лист2" xfId="665"/>
    <cellStyle name="Акцентування6" xfId="666"/>
    <cellStyle name="Акцентування6 2" xfId="667"/>
    <cellStyle name="Акцентування6_Лист2" xfId="668"/>
    <cellStyle name="Ввід" xfId="669"/>
    <cellStyle name="Ввід 2" xfId="670"/>
    <cellStyle name="Ввід_Лист2" xfId="671"/>
    <cellStyle name="Ввод  2" xfId="672"/>
    <cellStyle name="Ввод  2 2" xfId="673"/>
    <cellStyle name="Ввод  3" xfId="674"/>
    <cellStyle name="Вывод 2" xfId="675"/>
    <cellStyle name="Вывод 2 2" xfId="676"/>
    <cellStyle name="Вывод 2_Примітка" xfId="677"/>
    <cellStyle name="Вывод 3" xfId="678"/>
    <cellStyle name="Вычисление 2" xfId="679"/>
    <cellStyle name="Вычисление 2 2" xfId="680"/>
    <cellStyle name="Вычисление 3" xfId="681"/>
    <cellStyle name="Гарний" xfId="682"/>
    <cellStyle name="Добре" xfId="683"/>
    <cellStyle name="Добре 2" xfId="684"/>
    <cellStyle name="Заголовок 1 2" xfId="685"/>
    <cellStyle name="Заголовок 2 2" xfId="686"/>
    <cellStyle name="Заголовок 3 2" xfId="687"/>
    <cellStyle name="Заголовок 4 2" xfId="688"/>
    <cellStyle name="Звичайний 10" xfId="689"/>
    <cellStyle name="Звичайний 11" xfId="690"/>
    <cellStyle name="Звичайний 12" xfId="691"/>
    <cellStyle name="Звичайний 13" xfId="692"/>
    <cellStyle name="Звичайний 14" xfId="693"/>
    <cellStyle name="Звичайний 15" xfId="694"/>
    <cellStyle name="Звичайний 16" xfId="695"/>
    <cellStyle name="Звичайний 17" xfId="696"/>
    <cellStyle name="Звичайний 18" xfId="697"/>
    <cellStyle name="Звичайний 19" xfId="698"/>
    <cellStyle name="Звичайний 2" xfId="699"/>
    <cellStyle name="Звичайний 2 2" xfId="700"/>
    <cellStyle name="Звичайний 2 2 2" xfId="701"/>
    <cellStyle name="Звичайний 2 3" xfId="702"/>
    <cellStyle name="Звичайний 2_Додаток 1" xfId="703"/>
    <cellStyle name="Звичайний 20" xfId="704"/>
    <cellStyle name="Звичайний 3" xfId="705"/>
    <cellStyle name="Звичайний 3 2" xfId="706"/>
    <cellStyle name="Звичайний 3_Додаток 1" xfId="707"/>
    <cellStyle name="Звичайний 4" xfId="708"/>
    <cellStyle name="Звичайний 4 2" xfId="709"/>
    <cellStyle name="Звичайний 4 3" xfId="710"/>
    <cellStyle name="Звичайний 4_Додаток 1" xfId="711"/>
    <cellStyle name="Звичайний 5" xfId="712"/>
    <cellStyle name="Звичайний 6" xfId="713"/>
    <cellStyle name="Звичайний 7" xfId="714"/>
    <cellStyle name="Звичайний 8" xfId="715"/>
    <cellStyle name="Звичайний 9" xfId="716"/>
    <cellStyle name="Звичайний_Додаток _ 3 зм_ни 4575" xfId="717"/>
    <cellStyle name="Зв'язана клітинка" xfId="718"/>
    <cellStyle name="Итог 2" xfId="719"/>
    <cellStyle name="Контрольна клітинка" xfId="720"/>
    <cellStyle name="Контрольна клітинка 2" xfId="721"/>
    <cellStyle name="Контрольна клітинка_Лист2" xfId="722"/>
    <cellStyle name="Контрольная ячейка 2" xfId="723"/>
    <cellStyle name="Контрольная ячейка 2 2" xfId="724"/>
    <cellStyle name="Контрольная ячейка 3" xfId="725"/>
    <cellStyle name="Назва" xfId="726"/>
    <cellStyle name="Название 2" xfId="727"/>
    <cellStyle name="Нейтральний" xfId="728"/>
    <cellStyle name="Нейтральный 2" xfId="729"/>
    <cellStyle name="Нейтральный 2 2" xfId="730"/>
    <cellStyle name="Нейтральный 3" xfId="731"/>
    <cellStyle name="Обчислення" xfId="732"/>
    <cellStyle name="Обчислення 2" xfId="733"/>
    <cellStyle name="Обчислення_Зведена" xfId="734"/>
    <cellStyle name="Обычный" xfId="0" builtinId="0"/>
    <cellStyle name="Обычный 10" xfId="735"/>
    <cellStyle name="Обычный 10 2" xfId="736"/>
    <cellStyle name="Обычный 10_розрахунки по паях 2021" xfId="737"/>
    <cellStyle name="Обычный 100" xfId="738"/>
    <cellStyle name="Обычный 11" xfId="739"/>
    <cellStyle name="Обычный 11 2" xfId="740"/>
    <cellStyle name="Обычный 11 3" xfId="741"/>
    <cellStyle name="Обычный 11 4" xfId="742"/>
    <cellStyle name="Обычный 11 5" xfId="743"/>
    <cellStyle name="Обычный 11 6" xfId="744"/>
    <cellStyle name="Обычный 11_Додаток 1" xfId="745"/>
    <cellStyle name="Обычный 12" xfId="746"/>
    <cellStyle name="Обычный 13" xfId="747"/>
    <cellStyle name="Обычный 14" xfId="748"/>
    <cellStyle name="Обычный 15" xfId="749"/>
    <cellStyle name="Обычный 16" xfId="750"/>
    <cellStyle name="Обычный 17" xfId="751"/>
    <cellStyle name="Обычный 19" xfId="752"/>
    <cellStyle name="Обычный 2" xfId="753"/>
    <cellStyle name="Обычный 2 2" xfId="754"/>
    <cellStyle name="Обычный 2 3" xfId="755"/>
    <cellStyle name="Обычный 2 3 2" xfId="756"/>
    <cellStyle name="Обычный 2 3_Драбівський" xfId="757"/>
    <cellStyle name="Обычный 2_Додаток 1" xfId="758"/>
    <cellStyle name="Обычный 20" xfId="759"/>
    <cellStyle name="Обычный 22" xfId="760"/>
    <cellStyle name="Обычный 23" xfId="761"/>
    <cellStyle name="Обычный 25" xfId="762"/>
    <cellStyle name="Обычный 27" xfId="763"/>
    <cellStyle name="Обычный 28" xfId="764"/>
    <cellStyle name="Обычный 3" xfId="765"/>
    <cellStyle name="Обычный 3 2" xfId="766"/>
    <cellStyle name="Обычный 3 3" xfId="767"/>
    <cellStyle name="Обычный 3 4" xfId="768"/>
    <cellStyle name="Обычный 3 4 2" xfId="769"/>
    <cellStyle name="Обычный 3 4_Драбівський" xfId="770"/>
    <cellStyle name="Обычный 3 5" xfId="771"/>
    <cellStyle name="Обычный 3 6" xfId="772"/>
    <cellStyle name="Обычный 3 7" xfId="773"/>
    <cellStyle name="Обычный 3 8" xfId="774"/>
    <cellStyle name="Обычный 3 9" xfId="775"/>
    <cellStyle name="Обычный 3_Додаток 1" xfId="776"/>
    <cellStyle name="Обычный 30" xfId="777"/>
    <cellStyle name="Обычный 31" xfId="778"/>
    <cellStyle name="Обычный 33" xfId="779"/>
    <cellStyle name="Обычный 35" xfId="780"/>
    <cellStyle name="Обычный 37" xfId="781"/>
    <cellStyle name="Обычный 39" xfId="782"/>
    <cellStyle name="Обычный 4" xfId="783"/>
    <cellStyle name="Обычный 4 2" xfId="784"/>
    <cellStyle name="Обычный 4 3" xfId="785"/>
    <cellStyle name="Обычный 4 4" xfId="786"/>
    <cellStyle name="Обычный 4 5" xfId="787"/>
    <cellStyle name="Обычный 4 6" xfId="788"/>
    <cellStyle name="Обычный 4 7" xfId="789"/>
    <cellStyle name="Обычный 4_Додаток 1" xfId="790"/>
    <cellStyle name="Обычный 40" xfId="791"/>
    <cellStyle name="Обычный 41" xfId="792"/>
    <cellStyle name="Обычный 45" xfId="793"/>
    <cellStyle name="Обычный 46" xfId="794"/>
    <cellStyle name="Обычный 48" xfId="795"/>
    <cellStyle name="Обычный 49" xfId="796"/>
    <cellStyle name="Обычный 5" xfId="797"/>
    <cellStyle name="Обычный 52" xfId="798"/>
    <cellStyle name="Обычный 53" xfId="799"/>
    <cellStyle name="Обычный 55" xfId="800"/>
    <cellStyle name="Обычный 56" xfId="801"/>
    <cellStyle name="Обычный 59" xfId="802"/>
    <cellStyle name="Обычный 6" xfId="803"/>
    <cellStyle name="Обычный 6 10" xfId="804"/>
    <cellStyle name="Обычный 6 11" xfId="805"/>
    <cellStyle name="Обычный 6 12" xfId="806"/>
    <cellStyle name="Обычный 6 13" xfId="807"/>
    <cellStyle name="Обычный 6 2" xfId="808"/>
    <cellStyle name="Обычный 6 3" xfId="809"/>
    <cellStyle name="Обычный 6 3 2" xfId="810"/>
    <cellStyle name="Обычный 6 4" xfId="811"/>
    <cellStyle name="Обычный 6 4 2" xfId="812"/>
    <cellStyle name="Обычный 6 5" xfId="813"/>
    <cellStyle name="Обычный 6 6" xfId="814"/>
    <cellStyle name="Обычный 6 7" xfId="815"/>
    <cellStyle name="Обычный 6 8" xfId="816"/>
    <cellStyle name="Обычный 6 9" xfId="817"/>
    <cellStyle name="Обычный 6_dodatok 6 (2)" xfId="818"/>
    <cellStyle name="Обычный 60" xfId="819"/>
    <cellStyle name="Обычный 63" xfId="820"/>
    <cellStyle name="Обычный 64" xfId="821"/>
    <cellStyle name="Обычный 67" xfId="822"/>
    <cellStyle name="Обычный 68" xfId="823"/>
    <cellStyle name="Обычный 7" xfId="824"/>
    <cellStyle name="Обычный 7 2" xfId="825"/>
    <cellStyle name="Обычный 7 3" xfId="826"/>
    <cellStyle name="Обычный 7 4" xfId="827"/>
    <cellStyle name="Обычный 7 5" xfId="828"/>
    <cellStyle name="Обычный 7 6" xfId="829"/>
    <cellStyle name="Обычный 7_Примітка" xfId="830"/>
    <cellStyle name="Обычный 71" xfId="831"/>
    <cellStyle name="Обычный 72" xfId="832"/>
    <cellStyle name="Обычный 75" xfId="833"/>
    <cellStyle name="Обычный 76" xfId="834"/>
    <cellStyle name="Обычный 79" xfId="835"/>
    <cellStyle name="Обычный 8" xfId="836"/>
    <cellStyle name="Обычный 8 2" xfId="837"/>
    <cellStyle name="Обычный 8_розрахунки по паях 2021" xfId="838"/>
    <cellStyle name="Обычный 80" xfId="839"/>
    <cellStyle name="Обычный 83" xfId="840"/>
    <cellStyle name="Обычный 84" xfId="841"/>
    <cellStyle name="Обычный 87" xfId="842"/>
    <cellStyle name="Обычный 88" xfId="843"/>
    <cellStyle name="Обычный 9" xfId="844"/>
    <cellStyle name="Обычный 9 2" xfId="845"/>
    <cellStyle name="Обычный 9_Додаток 1" xfId="846"/>
    <cellStyle name="Обычный 91" xfId="847"/>
    <cellStyle name="Обычный 92" xfId="848"/>
    <cellStyle name="Обычный 95" xfId="849"/>
    <cellStyle name="Обычный 96" xfId="850"/>
    <cellStyle name="Обычный 99" xfId="851"/>
    <cellStyle name="Обычный_bgt2000" xfId="852"/>
    <cellStyle name="Обычный_dod 4" xfId="853"/>
    <cellStyle name="Обычный_Додаток 1" xfId="854"/>
    <cellStyle name="Обычный_Додаток 1_1" xfId="855"/>
    <cellStyle name="Обычный_заг_1 2" xfId="856"/>
    <cellStyle name="Обычный_ЗФ звед." xfId="857"/>
    <cellStyle name="Обычный_Книга1" xfId="903"/>
    <cellStyle name="Обычный_СФ звед" xfId="858"/>
    <cellStyle name="Підсумок" xfId="859"/>
    <cellStyle name="Підсумок 2" xfId="860"/>
    <cellStyle name="Підсумок_Зведена" xfId="861"/>
    <cellStyle name="Плохой 2" xfId="862"/>
    <cellStyle name="Плохой 2 2" xfId="863"/>
    <cellStyle name="Плохой 3" xfId="864"/>
    <cellStyle name="Поганий" xfId="865"/>
    <cellStyle name="Поганий 2" xfId="866"/>
    <cellStyle name="Пояснение 2" xfId="867"/>
    <cellStyle name="Примечание 2" xfId="868"/>
    <cellStyle name="Примечание 2 2" xfId="869"/>
    <cellStyle name="Примечание 2_Примітка" xfId="870"/>
    <cellStyle name="Примечание 3" xfId="871"/>
    <cellStyle name="Примітка" xfId="872"/>
    <cellStyle name="Примітка 2" xfId="873"/>
    <cellStyle name="Примітка_Лист2" xfId="874"/>
    <cellStyle name="Процентный 2" xfId="875"/>
    <cellStyle name="Процентный 2 2" xfId="876"/>
    <cellStyle name="Результат" xfId="877"/>
    <cellStyle name="Результат 2" xfId="878"/>
    <cellStyle name="Результат_Лист2" xfId="879"/>
    <cellStyle name="Связанная ячейка 2" xfId="880"/>
    <cellStyle name="Середній" xfId="881"/>
    <cellStyle name="Середній 2" xfId="882"/>
    <cellStyle name="Стиль 1" xfId="883"/>
    <cellStyle name="Стиль 1 2" xfId="884"/>
    <cellStyle name="Стиль 1_Додаток 1" xfId="885"/>
    <cellStyle name="Текст попередження" xfId="886"/>
    <cellStyle name="Текст пояснення" xfId="887"/>
    <cellStyle name="Текст пояснення 2" xfId="888"/>
    <cellStyle name="Текст предупреждения 2" xfId="889"/>
    <cellStyle name="Тысячи [0]_Розподіл (2)" xfId="890"/>
    <cellStyle name="Тысячи_бюджет 1998 по клас." xfId="891"/>
    <cellStyle name="Финансовый [0] 2" xfId="892"/>
    <cellStyle name="Финансовый 2" xfId="893"/>
    <cellStyle name="Финансовый 2 2" xfId="894"/>
    <cellStyle name="Финансовый 2_Додаток 1" xfId="895"/>
    <cellStyle name="Финансовый 3" xfId="896"/>
    <cellStyle name="Финансовый 3 2" xfId="897"/>
    <cellStyle name="Финансовый 3_Примітка" xfId="898"/>
    <cellStyle name="Фінансовий_отг с. Тернівка" xfId="899"/>
    <cellStyle name="Хороший 2" xfId="900"/>
    <cellStyle name="Хороший 2 2" xfId="901"/>
    <cellStyle name="Хороший 3" xfId="90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66675</xdr:rowOff>
    </xdr:from>
    <xdr:to>
      <xdr:col>0</xdr:col>
      <xdr:colOff>0</xdr:colOff>
      <xdr:row>14</xdr:row>
      <xdr:rowOff>561975</xdr:rowOff>
    </xdr:to>
    <xdr:sp macro="" textlink="">
      <xdr:nvSpPr>
        <xdr:cNvPr id="1799" name="Line 1"/>
        <xdr:cNvSpPr>
          <a:spLocks noChangeShapeType="1"/>
        </xdr:cNvSpPr>
      </xdr:nvSpPr>
      <xdr:spPr bwMode="auto">
        <a:xfrm flipV="1">
          <a:off x="0" y="1771650"/>
          <a:ext cx="0" cy="9525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03-02\03-02-03\&#1054;&#1056;%20-%20&#1056;&#1110;&#1096;&#1077;&#1085;&#1085;&#1103;\&#1041;&#1102;&#1076;&#1078;&#1077;&#1090;%20&#1090;&#1072;%20&#1079;&#1084;&#1110;&#1085;&#1080;\01%20&#1041;&#1077;&#1088;&#1077;&#1079;&#1077;&#1085;&#1100;\02%20&#1055;&#1088;&#1086;&#1077;&#1082;&#1090;%202\Pub\ALL\OLD_2008\&#1085;&#1072;&#1082;&#1072;&#1079;%20&#1087;&#1088;&#1086;%20&#1110;&#1085;&#1089;&#1090;&#1088;&#1091;&#1082;&#1094;&#1110;&#1102;\Dodatoks%20&#1085;&#1086;&#107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ub\ALL\OLD_2008\&#1085;&#1072;&#1082;&#1072;&#1079;%20&#1087;&#1088;&#1086;%20&#1110;&#1085;&#1089;&#1090;&#1088;&#1091;&#1082;&#1094;&#1110;&#1102;\Dodatoks%20&#1085;&#1086;&#107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J147"/>
  <sheetViews>
    <sheetView view="pageBreakPreview" zoomScaleNormal="85" zoomScaleSheetLayoutView="90" workbookViewId="0">
      <pane xSplit="2" ySplit="12" topLeftCell="C134" activePane="bottomRight" state="frozen"/>
      <selection pane="topRight" activeCell="C1" sqref="C1"/>
      <selection pane="bottomLeft" activeCell="A11" sqref="A11"/>
      <selection pane="bottomRight" activeCell="D19" sqref="D19"/>
    </sheetView>
  </sheetViews>
  <sheetFormatPr defaultRowHeight="12.75"/>
  <cols>
    <col min="1" max="1" width="10" style="109" customWidth="1"/>
    <col min="2" max="2" width="88.85546875" style="114" customWidth="1"/>
    <col min="3" max="3" width="17" style="114" customWidth="1"/>
    <col min="4" max="4" width="15.85546875" style="109" customWidth="1"/>
    <col min="5" max="5" width="13.28515625" style="109" customWidth="1"/>
    <col min="6" max="6" width="16" style="109" customWidth="1"/>
    <col min="7" max="7" width="11.7109375" style="109" bestFit="1" customWidth="1"/>
    <col min="8" max="8" width="13.7109375" style="109" customWidth="1"/>
    <col min="9" max="16384" width="9.140625" style="109"/>
  </cols>
  <sheetData>
    <row r="1" spans="1:8" ht="15">
      <c r="B1" s="246"/>
      <c r="C1" s="153"/>
      <c r="D1" s="120"/>
      <c r="E1" s="120"/>
      <c r="F1" s="121" t="s">
        <v>545</v>
      </c>
    </row>
    <row r="2" spans="1:8" s="110" customFormat="1" ht="15">
      <c r="B2" s="154"/>
      <c r="C2" s="154"/>
      <c r="D2" s="474" t="s">
        <v>613</v>
      </c>
      <c r="E2" s="474"/>
      <c r="F2" s="474"/>
      <c r="G2" s="111"/>
    </row>
    <row r="3" spans="1:8" s="110" customFormat="1" ht="15">
      <c r="B3" s="154"/>
      <c r="C3" s="154"/>
      <c r="D3" s="475" t="s">
        <v>691</v>
      </c>
      <c r="E3" s="476"/>
      <c r="F3" s="476"/>
      <c r="G3" s="112"/>
    </row>
    <row r="4" spans="1:8" s="110" customFormat="1" ht="15">
      <c r="B4" s="154"/>
      <c r="C4" s="154"/>
      <c r="D4" s="434" t="s">
        <v>692</v>
      </c>
      <c r="E4" s="435"/>
      <c r="F4" s="435"/>
      <c r="G4" s="112"/>
    </row>
    <row r="5" spans="1:8" s="110" customFormat="1" ht="15">
      <c r="B5" s="154"/>
      <c r="C5" s="154"/>
      <c r="D5" s="434" t="s">
        <v>751</v>
      </c>
      <c r="E5" s="435"/>
      <c r="F5" s="435"/>
      <c r="G5" s="112"/>
    </row>
    <row r="6" spans="1:8" s="110" customFormat="1" ht="15">
      <c r="B6" s="155"/>
      <c r="C6" s="155"/>
      <c r="D6" s="475"/>
      <c r="E6" s="476"/>
      <c r="F6" s="476"/>
      <c r="G6" s="111"/>
    </row>
    <row r="7" spans="1:8" s="158" customFormat="1" ht="17.25">
      <c r="A7" s="477" t="s">
        <v>184</v>
      </c>
      <c r="B7" s="477"/>
      <c r="C7" s="477"/>
      <c r="D7" s="477"/>
      <c r="E7" s="477"/>
      <c r="F7" s="477"/>
    </row>
    <row r="8" spans="1:8" ht="14.25" customHeight="1">
      <c r="A8" s="479">
        <v>2356400000</v>
      </c>
      <c r="B8" s="479"/>
      <c r="C8" s="156"/>
      <c r="D8" s="156"/>
      <c r="E8" s="247"/>
      <c r="F8" s="156"/>
    </row>
    <row r="9" spans="1:8" ht="12.75" customHeight="1">
      <c r="A9" s="157" t="s">
        <v>525</v>
      </c>
      <c r="B9" s="156"/>
      <c r="C9" s="156"/>
      <c r="D9" s="156"/>
      <c r="E9" s="156"/>
      <c r="F9" s="156"/>
    </row>
    <row r="10" spans="1:8" ht="13.5" thickBot="1">
      <c r="A10" s="478" t="s">
        <v>29</v>
      </c>
      <c r="B10" s="478"/>
      <c r="C10" s="478"/>
      <c r="D10" s="478"/>
      <c r="E10" s="478"/>
      <c r="F10" s="478"/>
    </row>
    <row r="11" spans="1:8" ht="18" customHeight="1">
      <c r="A11" s="480" t="s">
        <v>546</v>
      </c>
      <c r="B11" s="482" t="s">
        <v>60</v>
      </c>
      <c r="C11" s="484" t="s">
        <v>550</v>
      </c>
      <c r="D11" s="485" t="s">
        <v>547</v>
      </c>
      <c r="E11" s="484" t="s">
        <v>548</v>
      </c>
      <c r="F11" s="487"/>
    </row>
    <row r="12" spans="1:8" ht="30">
      <c r="A12" s="481"/>
      <c r="B12" s="483"/>
      <c r="C12" s="483"/>
      <c r="D12" s="486"/>
      <c r="E12" s="167" t="s">
        <v>549</v>
      </c>
      <c r="F12" s="249" t="s">
        <v>61</v>
      </c>
    </row>
    <row r="13" spans="1:8" ht="15">
      <c r="A13" s="248">
        <v>1</v>
      </c>
      <c r="B13" s="167">
        <v>2</v>
      </c>
      <c r="C13" s="168">
        <v>3</v>
      </c>
      <c r="D13" s="168">
        <v>4</v>
      </c>
      <c r="E13" s="168">
        <v>5</v>
      </c>
      <c r="F13" s="250">
        <v>6</v>
      </c>
    </row>
    <row r="14" spans="1:8" ht="14.25">
      <c r="A14" s="251" t="s">
        <v>188</v>
      </c>
      <c r="B14" s="159" t="s">
        <v>164</v>
      </c>
      <c r="C14" s="295">
        <f>D14+E14</f>
        <v>196753151</v>
      </c>
      <c r="D14" s="295">
        <f>D15+D23+D31+D39+D58</f>
        <v>196634151</v>
      </c>
      <c r="E14" s="295">
        <f>E58</f>
        <v>119000</v>
      </c>
      <c r="F14" s="296">
        <v>0</v>
      </c>
      <c r="G14" s="225"/>
      <c r="H14" s="226"/>
    </row>
    <row r="15" spans="1:8" ht="28.5">
      <c r="A15" s="251" t="s">
        <v>189</v>
      </c>
      <c r="B15" s="160" t="s">
        <v>62</v>
      </c>
      <c r="C15" s="295">
        <f t="shared" ref="C15:C91" si="0">D15+E15</f>
        <v>137883951</v>
      </c>
      <c r="D15" s="297">
        <f>D16+D21</f>
        <v>137883951</v>
      </c>
      <c r="E15" s="297">
        <f>E21</f>
        <v>0</v>
      </c>
      <c r="F15" s="298">
        <f>F21</f>
        <v>0</v>
      </c>
      <c r="G15" s="225"/>
      <c r="H15" s="226"/>
    </row>
    <row r="16" spans="1:8" ht="14.25">
      <c r="A16" s="251" t="s">
        <v>190</v>
      </c>
      <c r="B16" s="160" t="s">
        <v>63</v>
      </c>
      <c r="C16" s="295">
        <f t="shared" si="0"/>
        <v>137511951</v>
      </c>
      <c r="D16" s="297">
        <f>D17+D18+D19+D20</f>
        <v>137511951</v>
      </c>
      <c r="E16" s="299">
        <v>0</v>
      </c>
      <c r="F16" s="300">
        <v>0</v>
      </c>
      <c r="G16" s="113"/>
      <c r="H16" s="226"/>
    </row>
    <row r="17" spans="1:10" ht="30">
      <c r="A17" s="248" t="s">
        <v>191</v>
      </c>
      <c r="B17" s="161" t="s">
        <v>559</v>
      </c>
      <c r="C17" s="301">
        <f>D17+E17</f>
        <v>91047590</v>
      </c>
      <c r="D17" s="302">
        <f>90000000+544000+503590</f>
        <v>91047590</v>
      </c>
      <c r="E17" s="302"/>
      <c r="F17" s="303"/>
      <c r="G17" s="225"/>
      <c r="H17" s="227"/>
    </row>
    <row r="18" spans="1:10" ht="45">
      <c r="A18" s="248" t="s">
        <v>192</v>
      </c>
      <c r="B18" s="161" t="s">
        <v>560</v>
      </c>
      <c r="C18" s="301">
        <f t="shared" si="0"/>
        <v>36315361</v>
      </c>
      <c r="D18" s="302">
        <f>19600000+342000+3757000+3732000+3911979+4836287+136095</f>
        <v>36315361</v>
      </c>
      <c r="E18" s="302"/>
      <c r="F18" s="303"/>
      <c r="G18" s="225"/>
      <c r="H18" s="227"/>
    </row>
    <row r="19" spans="1:10" ht="30">
      <c r="A19" s="248" t="s">
        <v>193</v>
      </c>
      <c r="B19" s="161" t="s">
        <v>30</v>
      </c>
      <c r="C19" s="301">
        <f t="shared" si="0"/>
        <v>9300000</v>
      </c>
      <c r="D19" s="302">
        <v>9300000</v>
      </c>
      <c r="E19" s="302"/>
      <c r="F19" s="303"/>
      <c r="G19" s="225"/>
      <c r="H19" s="227"/>
    </row>
    <row r="20" spans="1:10" ht="30">
      <c r="A20" s="248" t="s">
        <v>194</v>
      </c>
      <c r="B20" s="161" t="s">
        <v>561</v>
      </c>
      <c r="C20" s="301">
        <f>D20+E20</f>
        <v>849000</v>
      </c>
      <c r="D20" s="302">
        <f>600000+249000</f>
        <v>849000</v>
      </c>
      <c r="E20" s="302"/>
      <c r="F20" s="303"/>
      <c r="G20" s="225"/>
      <c r="H20" s="227"/>
    </row>
    <row r="21" spans="1:10" ht="14.25">
      <c r="A21" s="251" t="s">
        <v>195</v>
      </c>
      <c r="B21" s="160" t="s">
        <v>165</v>
      </c>
      <c r="C21" s="295">
        <f t="shared" si="0"/>
        <v>372000</v>
      </c>
      <c r="D21" s="297">
        <f>D22</f>
        <v>372000</v>
      </c>
      <c r="E21" s="297">
        <f>E22</f>
        <v>0</v>
      </c>
      <c r="F21" s="298">
        <f>F22</f>
        <v>0</v>
      </c>
      <c r="G21" s="225"/>
      <c r="H21" s="226"/>
    </row>
    <row r="22" spans="1:10" ht="15">
      <c r="A22" s="252" t="s">
        <v>196</v>
      </c>
      <c r="B22" s="161" t="s">
        <v>64</v>
      </c>
      <c r="C22" s="301">
        <f t="shared" si="0"/>
        <v>372000</v>
      </c>
      <c r="D22" s="304">
        <f>365000+7000</f>
        <v>372000</v>
      </c>
      <c r="E22" s="304"/>
      <c r="F22" s="305"/>
      <c r="G22" s="225"/>
      <c r="H22" s="227"/>
    </row>
    <row r="23" spans="1:10" ht="14.25">
      <c r="A23" s="251" t="s">
        <v>197</v>
      </c>
      <c r="B23" s="160" t="s">
        <v>198</v>
      </c>
      <c r="C23" s="295">
        <f t="shared" si="0"/>
        <v>2461000</v>
      </c>
      <c r="D23" s="297">
        <f>D24+D27+D29</f>
        <v>2461000</v>
      </c>
      <c r="E23" s="297">
        <f>E24</f>
        <v>0</v>
      </c>
      <c r="F23" s="298">
        <f>F24</f>
        <v>0</v>
      </c>
      <c r="G23" s="225"/>
      <c r="H23" s="226"/>
    </row>
    <row r="24" spans="1:10" ht="14.25">
      <c r="A24" s="251" t="s">
        <v>199</v>
      </c>
      <c r="B24" s="160" t="s">
        <v>200</v>
      </c>
      <c r="C24" s="295">
        <f t="shared" si="0"/>
        <v>2400000</v>
      </c>
      <c r="D24" s="297">
        <f>D25+D26</f>
        <v>2400000</v>
      </c>
      <c r="E24" s="297">
        <f>E26</f>
        <v>0</v>
      </c>
      <c r="F24" s="298">
        <f>F26</f>
        <v>0</v>
      </c>
      <c r="G24" s="225"/>
      <c r="H24" s="226"/>
    </row>
    <row r="25" spans="1:10" ht="30">
      <c r="A25" s="252" t="s">
        <v>201</v>
      </c>
      <c r="B25" s="161" t="s">
        <v>202</v>
      </c>
      <c r="C25" s="301">
        <f t="shared" si="0"/>
        <v>1650000</v>
      </c>
      <c r="D25" s="304">
        <v>1650000</v>
      </c>
      <c r="E25" s="297"/>
      <c r="F25" s="298"/>
      <c r="G25" s="225"/>
      <c r="H25" s="227"/>
    </row>
    <row r="26" spans="1:10" ht="45">
      <c r="A26" s="252" t="s">
        <v>203</v>
      </c>
      <c r="B26" s="161" t="s">
        <v>204</v>
      </c>
      <c r="C26" s="301">
        <f t="shared" si="0"/>
        <v>750000</v>
      </c>
      <c r="D26" s="304">
        <v>750000</v>
      </c>
      <c r="E26" s="304"/>
      <c r="F26" s="305"/>
      <c r="G26" s="225"/>
      <c r="H26" s="227"/>
    </row>
    <row r="27" spans="1:10" ht="14.25">
      <c r="A27" s="253" t="s">
        <v>205</v>
      </c>
      <c r="B27" s="202" t="s">
        <v>206</v>
      </c>
      <c r="C27" s="295">
        <f t="shared" si="0"/>
        <v>61000</v>
      </c>
      <c r="D27" s="299">
        <f>D28</f>
        <v>61000</v>
      </c>
      <c r="E27" s="297">
        <v>0</v>
      </c>
      <c r="F27" s="298">
        <v>0</v>
      </c>
      <c r="G27" s="225"/>
      <c r="H27" s="226"/>
    </row>
    <row r="28" spans="1:10" ht="30">
      <c r="A28" s="254" t="s">
        <v>207</v>
      </c>
      <c r="B28" s="203" t="s">
        <v>208</v>
      </c>
      <c r="C28" s="301">
        <f t="shared" si="0"/>
        <v>61000</v>
      </c>
      <c r="D28" s="302">
        <v>61000</v>
      </c>
      <c r="E28" s="297"/>
      <c r="F28" s="298"/>
      <c r="G28" s="225"/>
      <c r="H28" s="227"/>
    </row>
    <row r="29" spans="1:10" ht="14.25" hidden="1">
      <c r="A29" s="253" t="s">
        <v>209</v>
      </c>
      <c r="B29" s="204" t="s">
        <v>210</v>
      </c>
      <c r="C29" s="295">
        <f t="shared" si="0"/>
        <v>0</v>
      </c>
      <c r="D29" s="299">
        <f>D30</f>
        <v>0</v>
      </c>
      <c r="E29" s="297">
        <v>0</v>
      </c>
      <c r="F29" s="298">
        <v>0</v>
      </c>
      <c r="G29" s="225"/>
      <c r="H29" s="306"/>
      <c r="I29" s="307"/>
      <c r="J29" s="225"/>
    </row>
    <row r="30" spans="1:10" ht="15" hidden="1">
      <c r="A30" s="254" t="s">
        <v>211</v>
      </c>
      <c r="B30" s="205" t="s">
        <v>212</v>
      </c>
      <c r="C30" s="301">
        <f t="shared" si="0"/>
        <v>0</v>
      </c>
      <c r="D30" s="302">
        <f>3000-3000</f>
        <v>0</v>
      </c>
      <c r="E30" s="304"/>
      <c r="F30" s="305"/>
      <c r="G30" s="225"/>
      <c r="H30" s="227"/>
    </row>
    <row r="31" spans="1:10" ht="14.25">
      <c r="A31" s="251">
        <v>14000000</v>
      </c>
      <c r="B31" s="160" t="s">
        <v>322</v>
      </c>
      <c r="C31" s="295">
        <f t="shared" si="0"/>
        <v>7732000</v>
      </c>
      <c r="D31" s="297">
        <f>D32+D34+D37+D38</f>
        <v>7732000</v>
      </c>
      <c r="E31" s="297">
        <v>0</v>
      </c>
      <c r="F31" s="298">
        <v>0</v>
      </c>
      <c r="G31" s="225"/>
      <c r="H31" s="226"/>
    </row>
    <row r="32" spans="1:10" ht="14.25">
      <c r="A32" s="251" t="s">
        <v>213</v>
      </c>
      <c r="B32" s="160" t="s">
        <v>214</v>
      </c>
      <c r="C32" s="295">
        <f t="shared" si="0"/>
        <v>500000</v>
      </c>
      <c r="D32" s="297">
        <f>D33</f>
        <v>500000</v>
      </c>
      <c r="E32" s="297">
        <v>0</v>
      </c>
      <c r="F32" s="298">
        <v>0</v>
      </c>
      <c r="G32" s="225"/>
      <c r="H32" s="226"/>
    </row>
    <row r="33" spans="1:8" ht="15">
      <c r="A33" s="252">
        <v>14021900</v>
      </c>
      <c r="B33" s="161" t="s">
        <v>323</v>
      </c>
      <c r="C33" s="301">
        <f t="shared" si="0"/>
        <v>500000</v>
      </c>
      <c r="D33" s="302">
        <f>96000+200000+72000+132000</f>
        <v>500000</v>
      </c>
      <c r="E33" s="304"/>
      <c r="F33" s="305"/>
      <c r="G33" s="225"/>
      <c r="H33" s="227"/>
    </row>
    <row r="34" spans="1:8" ht="18" customHeight="1">
      <c r="A34" s="251" t="s">
        <v>215</v>
      </c>
      <c r="B34" s="160" t="s">
        <v>324</v>
      </c>
      <c r="C34" s="295">
        <f t="shared" si="0"/>
        <v>2590000</v>
      </c>
      <c r="D34" s="297">
        <f>D35</f>
        <v>2590000</v>
      </c>
      <c r="E34" s="297">
        <v>0</v>
      </c>
      <c r="F34" s="298">
        <v>0</v>
      </c>
      <c r="G34" s="225"/>
      <c r="H34" s="226"/>
    </row>
    <row r="35" spans="1:8" ht="15">
      <c r="A35" s="252">
        <v>14031900</v>
      </c>
      <c r="B35" s="161" t="s">
        <v>323</v>
      </c>
      <c r="C35" s="301">
        <f t="shared" si="0"/>
        <v>2590000</v>
      </c>
      <c r="D35" s="302">
        <f>2400000+30000+137000+23000</f>
        <v>2590000</v>
      </c>
      <c r="E35" s="304"/>
      <c r="F35" s="305"/>
      <c r="G35" s="225"/>
      <c r="H35" s="227"/>
    </row>
    <row r="36" spans="1:8" ht="28.5">
      <c r="A36" s="251" t="s">
        <v>216</v>
      </c>
      <c r="B36" s="160" t="s">
        <v>217</v>
      </c>
      <c r="C36" s="297">
        <f t="shared" si="0"/>
        <v>4642000</v>
      </c>
      <c r="D36" s="297">
        <f>D37+D38</f>
        <v>4642000</v>
      </c>
      <c r="E36" s="297"/>
      <c r="F36" s="298"/>
      <c r="G36" s="225"/>
      <c r="H36" s="226"/>
    </row>
    <row r="37" spans="1:8" ht="60">
      <c r="A37" s="252" t="s">
        <v>336</v>
      </c>
      <c r="B37" s="161" t="s">
        <v>218</v>
      </c>
      <c r="C37" s="304">
        <f t="shared" si="0"/>
        <v>1634000</v>
      </c>
      <c r="D37" s="304">
        <f>1460000+47000+127000</f>
        <v>1634000</v>
      </c>
      <c r="E37" s="304"/>
      <c r="F37" s="305"/>
      <c r="G37" s="225"/>
      <c r="H37" s="226"/>
    </row>
    <row r="38" spans="1:8" ht="45">
      <c r="A38" s="252" t="s">
        <v>219</v>
      </c>
      <c r="B38" s="161" t="s">
        <v>564</v>
      </c>
      <c r="C38" s="304">
        <f t="shared" si="0"/>
        <v>3008000</v>
      </c>
      <c r="D38" s="304">
        <f>3000000+8000</f>
        <v>3008000</v>
      </c>
      <c r="E38" s="304"/>
      <c r="F38" s="305"/>
      <c r="G38" s="225"/>
      <c r="H38" s="226"/>
    </row>
    <row r="39" spans="1:8" ht="28.5">
      <c r="A39" s="251">
        <v>18000000</v>
      </c>
      <c r="B39" s="202" t="s">
        <v>161</v>
      </c>
      <c r="C39" s="295">
        <f t="shared" si="0"/>
        <v>48557200</v>
      </c>
      <c r="D39" s="297">
        <f>D40+D54</f>
        <v>48557200</v>
      </c>
      <c r="E39" s="297">
        <f>F39+G39</f>
        <v>0</v>
      </c>
      <c r="F39" s="298">
        <v>0</v>
      </c>
      <c r="G39" s="225"/>
      <c r="H39" s="226"/>
    </row>
    <row r="40" spans="1:8" ht="28.5" hidden="1">
      <c r="A40" s="251" t="s">
        <v>220</v>
      </c>
      <c r="B40" s="160" t="s">
        <v>221</v>
      </c>
      <c r="C40" s="295">
        <f t="shared" si="0"/>
        <v>20698200</v>
      </c>
      <c r="D40" s="297">
        <f>D41+D53</f>
        <v>20698200</v>
      </c>
      <c r="E40" s="297">
        <v>0</v>
      </c>
      <c r="F40" s="298">
        <v>0</v>
      </c>
      <c r="G40" s="225"/>
      <c r="H40" s="226"/>
    </row>
    <row r="41" spans="1:8" ht="14.25">
      <c r="A41" s="251" t="s">
        <v>222</v>
      </c>
      <c r="B41" s="160" t="s">
        <v>223</v>
      </c>
      <c r="C41" s="295">
        <f t="shared" si="0"/>
        <v>20698200</v>
      </c>
      <c r="D41" s="297">
        <f>D42+D43+D44+D45+D46+D47+D48+D49+D50+D51</f>
        <v>20698200</v>
      </c>
      <c r="E41" s="297"/>
      <c r="F41" s="298"/>
      <c r="G41" s="225"/>
      <c r="H41" s="226"/>
    </row>
    <row r="42" spans="1:8" ht="30">
      <c r="A42" s="252" t="s">
        <v>224</v>
      </c>
      <c r="B42" s="290" t="s">
        <v>170</v>
      </c>
      <c r="C42" s="301">
        <f t="shared" si="0"/>
        <v>20200</v>
      </c>
      <c r="D42" s="304">
        <f>17200+3000</f>
        <v>20200</v>
      </c>
      <c r="E42" s="304"/>
      <c r="F42" s="305"/>
      <c r="G42" s="225"/>
      <c r="H42" s="227"/>
    </row>
    <row r="43" spans="1:8" ht="30">
      <c r="A43" s="252" t="s">
        <v>225</v>
      </c>
      <c r="B43" s="161" t="s">
        <v>226</v>
      </c>
      <c r="C43" s="301">
        <f t="shared" si="0"/>
        <v>80000</v>
      </c>
      <c r="D43" s="304">
        <v>80000</v>
      </c>
      <c r="E43" s="304"/>
      <c r="F43" s="305"/>
      <c r="G43" s="225"/>
      <c r="H43" s="227"/>
    </row>
    <row r="44" spans="1:8" ht="30">
      <c r="A44" s="252" t="s">
        <v>227</v>
      </c>
      <c r="B44" s="161" t="s">
        <v>228</v>
      </c>
      <c r="C44" s="301">
        <f t="shared" si="0"/>
        <v>884000</v>
      </c>
      <c r="D44" s="304">
        <f>860000+24000</f>
        <v>884000</v>
      </c>
      <c r="E44" s="304"/>
      <c r="F44" s="305"/>
      <c r="G44" s="225"/>
      <c r="H44" s="227"/>
    </row>
    <row r="45" spans="1:8" ht="30">
      <c r="A45" s="252" t="s">
        <v>229</v>
      </c>
      <c r="B45" s="161" t="s">
        <v>171</v>
      </c>
      <c r="C45" s="301">
        <f t="shared" si="0"/>
        <v>4070000</v>
      </c>
      <c r="D45" s="304">
        <f>3800000+231000+39000</f>
        <v>4070000</v>
      </c>
      <c r="E45" s="304"/>
      <c r="F45" s="305"/>
      <c r="G45" s="225"/>
      <c r="H45" s="227"/>
    </row>
    <row r="46" spans="1:8" ht="15">
      <c r="A46" s="252" t="s">
        <v>230</v>
      </c>
      <c r="B46" s="161" t="s">
        <v>231</v>
      </c>
      <c r="C46" s="301">
        <f t="shared" si="0"/>
        <v>1412000</v>
      </c>
      <c r="D46" s="302">
        <f>1300000+77000+35000</f>
        <v>1412000</v>
      </c>
      <c r="E46" s="304"/>
      <c r="F46" s="305"/>
      <c r="G46" s="225"/>
      <c r="H46" s="227"/>
    </row>
    <row r="47" spans="1:8" ht="15">
      <c r="A47" s="252" t="s">
        <v>232</v>
      </c>
      <c r="B47" s="161" t="s">
        <v>233</v>
      </c>
      <c r="C47" s="301">
        <f t="shared" si="0"/>
        <v>11308000</v>
      </c>
      <c r="D47" s="302">
        <f>10300000+125000+523000+138000+222000</f>
        <v>11308000</v>
      </c>
      <c r="E47" s="304"/>
      <c r="F47" s="305"/>
      <c r="G47" s="225"/>
      <c r="H47" s="227"/>
    </row>
    <row r="48" spans="1:8" ht="15">
      <c r="A48" s="252" t="s">
        <v>234</v>
      </c>
      <c r="B48" s="161" t="s">
        <v>235</v>
      </c>
      <c r="C48" s="301">
        <f t="shared" si="0"/>
        <v>831000</v>
      </c>
      <c r="D48" s="302">
        <f>740000+5000+48000+38000</f>
        <v>831000</v>
      </c>
      <c r="E48" s="304"/>
      <c r="F48" s="305"/>
      <c r="G48" s="225"/>
      <c r="H48" s="227"/>
    </row>
    <row r="49" spans="1:8" ht="15">
      <c r="A49" s="252" t="s">
        <v>236</v>
      </c>
      <c r="B49" s="161" t="s">
        <v>237</v>
      </c>
      <c r="C49" s="301">
        <f t="shared" si="0"/>
        <v>2077000</v>
      </c>
      <c r="D49" s="302">
        <f>1950000+27000+100000</f>
        <v>2077000</v>
      </c>
      <c r="E49" s="304"/>
      <c r="F49" s="305"/>
      <c r="G49" s="225"/>
      <c r="H49" s="226"/>
    </row>
    <row r="50" spans="1:8" ht="15" hidden="1">
      <c r="A50" s="252" t="s">
        <v>238</v>
      </c>
      <c r="B50" s="161" t="s">
        <v>239</v>
      </c>
      <c r="C50" s="301">
        <f t="shared" si="0"/>
        <v>0</v>
      </c>
      <c r="D50" s="302">
        <v>0</v>
      </c>
      <c r="E50" s="304"/>
      <c r="F50" s="305"/>
      <c r="G50" s="225"/>
      <c r="H50" s="227"/>
    </row>
    <row r="51" spans="1:8" ht="15">
      <c r="A51" s="252" t="s">
        <v>240</v>
      </c>
      <c r="B51" s="161" t="s">
        <v>241</v>
      </c>
      <c r="C51" s="301">
        <f t="shared" si="0"/>
        <v>16000</v>
      </c>
      <c r="D51" s="302">
        <v>16000</v>
      </c>
      <c r="E51" s="304"/>
      <c r="F51" s="305"/>
      <c r="G51" s="225"/>
      <c r="H51" s="227"/>
    </row>
    <row r="52" spans="1:8" ht="14.25" hidden="1">
      <c r="A52" s="251" t="s">
        <v>242</v>
      </c>
      <c r="B52" s="160" t="s">
        <v>243</v>
      </c>
      <c r="C52" s="295">
        <f t="shared" si="0"/>
        <v>0</v>
      </c>
      <c r="D52" s="299">
        <f>D53</f>
        <v>0</v>
      </c>
      <c r="E52" s="297"/>
      <c r="F52" s="298"/>
      <c r="G52" s="225"/>
      <c r="H52" s="227"/>
    </row>
    <row r="53" spans="1:8" ht="15" hidden="1">
      <c r="A53" s="252" t="s">
        <v>244</v>
      </c>
      <c r="B53" s="161" t="s">
        <v>245</v>
      </c>
      <c r="C53" s="301">
        <f t="shared" si="0"/>
        <v>0</v>
      </c>
      <c r="D53" s="299"/>
      <c r="E53" s="297"/>
      <c r="F53" s="298"/>
      <c r="G53" s="225"/>
      <c r="H53" s="227"/>
    </row>
    <row r="54" spans="1:8" ht="14.25">
      <c r="A54" s="251" t="s">
        <v>246</v>
      </c>
      <c r="B54" s="160" t="s">
        <v>325</v>
      </c>
      <c r="C54" s="295">
        <f t="shared" si="0"/>
        <v>27859000</v>
      </c>
      <c r="D54" s="297">
        <f>D55+D56+D57</f>
        <v>27859000</v>
      </c>
      <c r="E54" s="297">
        <v>0</v>
      </c>
      <c r="F54" s="298">
        <v>0</v>
      </c>
      <c r="G54" s="225"/>
      <c r="H54" s="227"/>
    </row>
    <row r="55" spans="1:8" ht="15">
      <c r="A55" s="252" t="s">
        <v>247</v>
      </c>
      <c r="B55" s="161" t="s">
        <v>326</v>
      </c>
      <c r="C55" s="301">
        <f t="shared" si="0"/>
        <v>955000</v>
      </c>
      <c r="D55" s="304">
        <f>950000+5000</f>
        <v>955000</v>
      </c>
      <c r="E55" s="304"/>
      <c r="F55" s="305"/>
      <c r="G55" s="225"/>
      <c r="H55" s="226"/>
    </row>
    <row r="56" spans="1:8" ht="15">
      <c r="A56" s="252" t="s">
        <v>248</v>
      </c>
      <c r="B56" s="161" t="s">
        <v>327</v>
      </c>
      <c r="C56" s="301">
        <f t="shared" si="0"/>
        <v>20204000</v>
      </c>
      <c r="D56" s="304">
        <f>20100000+104000</f>
        <v>20204000</v>
      </c>
      <c r="E56" s="304"/>
      <c r="F56" s="305"/>
      <c r="G56" s="225"/>
      <c r="H56" s="226"/>
    </row>
    <row r="57" spans="1:8" ht="45">
      <c r="A57" s="248" t="s">
        <v>249</v>
      </c>
      <c r="B57" s="161" t="s">
        <v>250</v>
      </c>
      <c r="C57" s="301">
        <f t="shared" si="0"/>
        <v>6700000</v>
      </c>
      <c r="D57" s="302">
        <f>6550000+23000+127000</f>
        <v>6700000</v>
      </c>
      <c r="E57" s="302"/>
      <c r="F57" s="303"/>
      <c r="G57" s="225"/>
      <c r="H57" s="227"/>
    </row>
    <row r="58" spans="1:8" ht="14.25">
      <c r="A58" s="251" t="s">
        <v>251</v>
      </c>
      <c r="B58" s="160" t="s">
        <v>330</v>
      </c>
      <c r="C58" s="295">
        <f t="shared" si="0"/>
        <v>119000</v>
      </c>
      <c r="D58" s="297">
        <v>0</v>
      </c>
      <c r="E58" s="297">
        <f>E59</f>
        <v>119000</v>
      </c>
      <c r="F58" s="298">
        <v>0</v>
      </c>
      <c r="G58" s="225"/>
      <c r="H58" s="227"/>
    </row>
    <row r="59" spans="1:8" ht="14.25">
      <c r="A59" s="251">
        <v>19010000</v>
      </c>
      <c r="B59" s="160" t="s">
        <v>331</v>
      </c>
      <c r="C59" s="295">
        <f t="shared" si="0"/>
        <v>119000</v>
      </c>
      <c r="D59" s="297">
        <v>0</v>
      </c>
      <c r="E59" s="297">
        <f>E60+E61+E62</f>
        <v>119000</v>
      </c>
      <c r="F59" s="298">
        <v>0</v>
      </c>
      <c r="G59" s="225"/>
      <c r="H59" s="227"/>
    </row>
    <row r="60" spans="1:8" ht="31.5" customHeight="1">
      <c r="A60" s="252" t="s">
        <v>252</v>
      </c>
      <c r="B60" s="161" t="s">
        <v>332</v>
      </c>
      <c r="C60" s="301">
        <f t="shared" si="0"/>
        <v>85000</v>
      </c>
      <c r="D60" s="304">
        <v>0</v>
      </c>
      <c r="E60" s="304">
        <f>75000+10000</f>
        <v>85000</v>
      </c>
      <c r="F60" s="305">
        <v>0</v>
      </c>
      <c r="G60" s="225"/>
      <c r="H60" s="226"/>
    </row>
    <row r="61" spans="1:8" ht="15">
      <c r="A61" s="252" t="s">
        <v>253</v>
      </c>
      <c r="B61" s="161" t="s">
        <v>333</v>
      </c>
      <c r="C61" s="301">
        <f t="shared" si="0"/>
        <v>6000</v>
      </c>
      <c r="D61" s="304">
        <v>0</v>
      </c>
      <c r="E61" s="304">
        <f>3000+3000</f>
        <v>6000</v>
      </c>
      <c r="F61" s="305">
        <v>0</v>
      </c>
      <c r="G61" s="225"/>
      <c r="H61" s="226"/>
    </row>
    <row r="62" spans="1:8" ht="30">
      <c r="A62" s="252" t="s">
        <v>254</v>
      </c>
      <c r="B62" s="161" t="s">
        <v>337</v>
      </c>
      <c r="C62" s="301">
        <f t="shared" si="0"/>
        <v>28000</v>
      </c>
      <c r="D62" s="304">
        <v>0</v>
      </c>
      <c r="E62" s="304">
        <f>25000+3000</f>
        <v>28000</v>
      </c>
      <c r="F62" s="305">
        <v>0</v>
      </c>
      <c r="G62" s="225"/>
      <c r="H62" s="226"/>
    </row>
    <row r="63" spans="1:8" ht="14.25">
      <c r="A63" s="251" t="s">
        <v>255</v>
      </c>
      <c r="B63" s="160" t="s">
        <v>338</v>
      </c>
      <c r="C63" s="295">
        <f t="shared" si="0"/>
        <v>6644655</v>
      </c>
      <c r="D63" s="297">
        <f>D64+D72+D85</f>
        <v>4076500</v>
      </c>
      <c r="E63" s="297">
        <f>E72+E78+E85+E91</f>
        <v>2568155</v>
      </c>
      <c r="F63" s="297">
        <f>F72+F78+F85+F91</f>
        <v>0</v>
      </c>
      <c r="G63" s="225"/>
      <c r="H63" s="227"/>
    </row>
    <row r="64" spans="1:8" ht="14.25">
      <c r="A64" s="251" t="s">
        <v>256</v>
      </c>
      <c r="B64" s="160" t="s">
        <v>339</v>
      </c>
      <c r="C64" s="295">
        <f t="shared" si="0"/>
        <v>800000</v>
      </c>
      <c r="D64" s="297">
        <f>D65+D67+D68</f>
        <v>800000</v>
      </c>
      <c r="E64" s="297">
        <v>0</v>
      </c>
      <c r="F64" s="298">
        <v>0</v>
      </c>
      <c r="G64" s="225"/>
      <c r="H64" s="227"/>
    </row>
    <row r="65" spans="1:8" ht="57">
      <c r="A65" s="251" t="s">
        <v>257</v>
      </c>
      <c r="B65" s="160" t="s">
        <v>258</v>
      </c>
      <c r="C65" s="295">
        <f t="shared" si="0"/>
        <v>696000</v>
      </c>
      <c r="D65" s="297">
        <f>D66</f>
        <v>696000</v>
      </c>
      <c r="E65" s="297">
        <v>0</v>
      </c>
      <c r="F65" s="298">
        <v>0</v>
      </c>
      <c r="G65" s="225"/>
      <c r="H65" s="227"/>
    </row>
    <row r="66" spans="1:8" ht="30">
      <c r="A66" s="252" t="s">
        <v>259</v>
      </c>
      <c r="B66" s="161" t="s">
        <v>340</v>
      </c>
      <c r="C66" s="301">
        <f t="shared" si="0"/>
        <v>696000</v>
      </c>
      <c r="D66" s="304">
        <f>10000+469000+217000</f>
        <v>696000</v>
      </c>
      <c r="E66" s="304"/>
      <c r="F66" s="305"/>
      <c r="G66" s="225"/>
      <c r="H66" s="226"/>
    </row>
    <row r="67" spans="1:8" ht="14.25" hidden="1">
      <c r="A67" s="251" t="s">
        <v>260</v>
      </c>
      <c r="B67" s="160" t="s">
        <v>162</v>
      </c>
      <c r="C67" s="295">
        <f t="shared" si="0"/>
        <v>0</v>
      </c>
      <c r="D67" s="297">
        <v>0</v>
      </c>
      <c r="E67" s="297">
        <v>0</v>
      </c>
      <c r="F67" s="298">
        <v>0</v>
      </c>
      <c r="G67" s="225"/>
      <c r="H67" s="226"/>
    </row>
    <row r="68" spans="1:8" ht="14.25">
      <c r="A68" s="251" t="s">
        <v>261</v>
      </c>
      <c r="B68" s="160" t="s">
        <v>341</v>
      </c>
      <c r="C68" s="295">
        <f t="shared" si="0"/>
        <v>104000</v>
      </c>
      <c r="D68" s="297">
        <f>D69+D70+D71</f>
        <v>104000</v>
      </c>
      <c r="E68" s="297">
        <f>E70+E71</f>
        <v>0</v>
      </c>
      <c r="F68" s="298">
        <v>0</v>
      </c>
      <c r="G68" s="225"/>
      <c r="H68" s="227"/>
    </row>
    <row r="69" spans="1:8" ht="45" hidden="1">
      <c r="A69" s="252">
        <v>21080900</v>
      </c>
      <c r="B69" s="161" t="s">
        <v>163</v>
      </c>
      <c r="C69" s="301">
        <f t="shared" si="0"/>
        <v>0</v>
      </c>
      <c r="D69" s="304"/>
      <c r="E69" s="304">
        <v>0</v>
      </c>
      <c r="F69" s="305">
        <v>0</v>
      </c>
      <c r="G69" s="225"/>
      <c r="H69" s="227"/>
    </row>
    <row r="70" spans="1:8" ht="15">
      <c r="A70" s="252" t="s">
        <v>262</v>
      </c>
      <c r="B70" s="161" t="s">
        <v>342</v>
      </c>
      <c r="C70" s="301">
        <f t="shared" si="0"/>
        <v>20000</v>
      </c>
      <c r="D70" s="302">
        <v>20000</v>
      </c>
      <c r="E70" s="304"/>
      <c r="F70" s="305"/>
      <c r="G70" s="225"/>
      <c r="H70" s="226"/>
    </row>
    <row r="71" spans="1:8" ht="45">
      <c r="A71" s="252" t="s">
        <v>263</v>
      </c>
      <c r="B71" s="161" t="s">
        <v>106</v>
      </c>
      <c r="C71" s="308">
        <f t="shared" si="0"/>
        <v>84000</v>
      </c>
      <c r="D71" s="302">
        <f>44000+40000</f>
        <v>84000</v>
      </c>
      <c r="E71" s="302"/>
      <c r="F71" s="303"/>
      <c r="G71" s="225"/>
      <c r="H71" s="226"/>
    </row>
    <row r="72" spans="1:8" ht="28.5">
      <c r="A72" s="251" t="s">
        <v>264</v>
      </c>
      <c r="B72" s="160" t="s">
        <v>65</v>
      </c>
      <c r="C72" s="295">
        <f t="shared" si="0"/>
        <v>2753300</v>
      </c>
      <c r="D72" s="297">
        <f>D73+D78+D80+D84</f>
        <v>2753300</v>
      </c>
      <c r="E72" s="297">
        <v>0</v>
      </c>
      <c r="F72" s="298">
        <v>0</v>
      </c>
      <c r="G72" s="225"/>
      <c r="H72" s="226"/>
    </row>
    <row r="73" spans="1:8" ht="14.25">
      <c r="A73" s="251" t="s">
        <v>265</v>
      </c>
      <c r="B73" s="160" t="s">
        <v>554</v>
      </c>
      <c r="C73" s="295">
        <f t="shared" si="0"/>
        <v>2424000</v>
      </c>
      <c r="D73" s="297">
        <f>D74+D75+D76+D77</f>
        <v>2424000</v>
      </c>
      <c r="E73" s="297">
        <v>0</v>
      </c>
      <c r="F73" s="298">
        <v>0</v>
      </c>
      <c r="G73" s="225"/>
      <c r="H73" s="227"/>
    </row>
    <row r="74" spans="1:8" ht="30">
      <c r="A74" s="252" t="s">
        <v>266</v>
      </c>
      <c r="B74" s="161" t="s">
        <v>267</v>
      </c>
      <c r="C74" s="301">
        <f t="shared" si="0"/>
        <v>45000</v>
      </c>
      <c r="D74" s="304">
        <f>40000+5000</f>
        <v>45000</v>
      </c>
      <c r="E74" s="304"/>
      <c r="F74" s="305"/>
      <c r="G74" s="225"/>
      <c r="H74" s="226"/>
    </row>
    <row r="75" spans="1:8" ht="15">
      <c r="A75" s="252" t="s">
        <v>268</v>
      </c>
      <c r="B75" s="161" t="s">
        <v>343</v>
      </c>
      <c r="C75" s="301">
        <f t="shared" si="0"/>
        <v>2282000</v>
      </c>
      <c r="D75" s="304">
        <f>2140000+30000+90000+22000</f>
        <v>2282000</v>
      </c>
      <c r="E75" s="304"/>
      <c r="F75" s="305"/>
      <c r="G75" s="225"/>
      <c r="H75" s="226"/>
    </row>
    <row r="76" spans="1:8" ht="30">
      <c r="A76" s="252" t="s">
        <v>269</v>
      </c>
      <c r="B76" s="161" t="s">
        <v>270</v>
      </c>
      <c r="C76" s="301">
        <f t="shared" si="0"/>
        <v>91000</v>
      </c>
      <c r="D76" s="304">
        <f>87000+4000</f>
        <v>91000</v>
      </c>
      <c r="E76" s="304"/>
      <c r="F76" s="305"/>
      <c r="G76" s="225"/>
      <c r="H76" s="227"/>
    </row>
    <row r="77" spans="1:8" ht="60">
      <c r="A77" s="252" t="s">
        <v>271</v>
      </c>
      <c r="B77" s="161" t="s">
        <v>272</v>
      </c>
      <c r="C77" s="301">
        <f t="shared" si="0"/>
        <v>6000</v>
      </c>
      <c r="D77" s="304">
        <v>6000</v>
      </c>
      <c r="E77" s="304">
        <v>0</v>
      </c>
      <c r="F77" s="305">
        <v>0</v>
      </c>
      <c r="G77" s="225"/>
      <c r="H77" s="227"/>
    </row>
    <row r="78" spans="1:8" ht="28.5">
      <c r="A78" s="251" t="s">
        <v>273</v>
      </c>
      <c r="B78" s="160" t="s">
        <v>85</v>
      </c>
      <c r="C78" s="295">
        <f t="shared" si="0"/>
        <v>221000</v>
      </c>
      <c r="D78" s="297">
        <f>D79</f>
        <v>221000</v>
      </c>
      <c r="E78" s="297">
        <v>0</v>
      </c>
      <c r="F78" s="298">
        <v>0</v>
      </c>
      <c r="G78" s="225"/>
      <c r="H78" s="227"/>
    </row>
    <row r="79" spans="1:8" ht="30">
      <c r="A79" s="252" t="s">
        <v>274</v>
      </c>
      <c r="B79" s="161" t="s">
        <v>275</v>
      </c>
      <c r="C79" s="301">
        <f t="shared" si="0"/>
        <v>221000</v>
      </c>
      <c r="D79" s="304">
        <f>210000+3000+8000</f>
        <v>221000</v>
      </c>
      <c r="E79" s="304"/>
      <c r="F79" s="305"/>
      <c r="G79" s="225"/>
      <c r="H79" s="226"/>
    </row>
    <row r="80" spans="1:8" ht="14.25">
      <c r="A80" s="251" t="s">
        <v>276</v>
      </c>
      <c r="B80" s="160" t="s">
        <v>344</v>
      </c>
      <c r="C80" s="295">
        <f t="shared" si="0"/>
        <v>91800</v>
      </c>
      <c r="D80" s="297">
        <f>D81+D82+D83</f>
        <v>91800</v>
      </c>
      <c r="E80" s="297">
        <f>F80+G80</f>
        <v>0</v>
      </c>
      <c r="F80" s="298">
        <v>0</v>
      </c>
      <c r="G80" s="225"/>
      <c r="H80" s="227"/>
    </row>
    <row r="81" spans="1:8" ht="30">
      <c r="A81" s="252" t="s">
        <v>277</v>
      </c>
      <c r="B81" s="161" t="s">
        <v>345</v>
      </c>
      <c r="C81" s="301">
        <f t="shared" si="0"/>
        <v>85000</v>
      </c>
      <c r="D81" s="304">
        <f>45000+30000+10000</f>
        <v>85000</v>
      </c>
      <c r="E81" s="304"/>
      <c r="F81" s="305"/>
      <c r="G81" s="225"/>
      <c r="H81" s="226"/>
    </row>
    <row r="82" spans="1:8" ht="15" hidden="1">
      <c r="A82" s="252">
        <v>22090200</v>
      </c>
      <c r="B82" s="161" t="s">
        <v>346</v>
      </c>
      <c r="C82" s="301">
        <f t="shared" si="0"/>
        <v>0</v>
      </c>
      <c r="D82" s="304">
        <v>0</v>
      </c>
      <c r="E82" s="304"/>
      <c r="F82" s="305"/>
      <c r="G82" s="225"/>
      <c r="H82" s="226"/>
    </row>
    <row r="83" spans="1:8" ht="30">
      <c r="A83" s="252" t="s">
        <v>278</v>
      </c>
      <c r="B83" s="161" t="s">
        <v>376</v>
      </c>
      <c r="C83" s="301">
        <f t="shared" si="0"/>
        <v>6800</v>
      </c>
      <c r="D83" s="304">
        <f>6000+800</f>
        <v>6800</v>
      </c>
      <c r="E83" s="304"/>
      <c r="F83" s="305"/>
      <c r="G83" s="225"/>
      <c r="H83" s="226"/>
    </row>
    <row r="84" spans="1:8" ht="57">
      <c r="A84" s="323" t="s">
        <v>279</v>
      </c>
      <c r="B84" s="324" t="s">
        <v>280</v>
      </c>
      <c r="C84" s="295">
        <f t="shared" si="0"/>
        <v>16500</v>
      </c>
      <c r="D84" s="297">
        <v>16500</v>
      </c>
      <c r="E84" s="297"/>
      <c r="F84" s="298"/>
      <c r="G84" s="225"/>
      <c r="H84" s="227"/>
    </row>
    <row r="85" spans="1:8" ht="14.25">
      <c r="A85" s="251" t="s">
        <v>281</v>
      </c>
      <c r="B85" s="160" t="s">
        <v>347</v>
      </c>
      <c r="C85" s="297">
        <f>C86+C90</f>
        <v>589200</v>
      </c>
      <c r="D85" s="297">
        <f>D87+D88+D89+D91</f>
        <v>523200</v>
      </c>
      <c r="E85" s="299">
        <f>E86+E90</f>
        <v>66000</v>
      </c>
      <c r="F85" s="300">
        <f>F86+F90</f>
        <v>0</v>
      </c>
      <c r="G85" s="225"/>
      <c r="H85" s="226"/>
    </row>
    <row r="86" spans="1:8" ht="14.25">
      <c r="A86" s="251" t="s">
        <v>282</v>
      </c>
      <c r="B86" s="160" t="s">
        <v>341</v>
      </c>
      <c r="C86" s="297">
        <f>C87+C88+C89</f>
        <v>589200</v>
      </c>
      <c r="D86" s="297">
        <f>D87+D89</f>
        <v>523200</v>
      </c>
      <c r="E86" s="299">
        <f>E88</f>
        <v>66000</v>
      </c>
      <c r="F86" s="300"/>
      <c r="G86" s="225"/>
      <c r="H86" s="226"/>
    </row>
    <row r="87" spans="1:8" ht="15" hidden="1">
      <c r="A87" s="252" t="s">
        <v>283</v>
      </c>
      <c r="B87" s="161" t="s">
        <v>341</v>
      </c>
      <c r="C87" s="304">
        <f t="shared" si="0"/>
        <v>396000</v>
      </c>
      <c r="D87" s="304">
        <f>95000+279000+22000</f>
        <v>396000</v>
      </c>
      <c r="E87" s="304"/>
      <c r="F87" s="305"/>
      <c r="G87" s="225"/>
      <c r="H87" s="228"/>
    </row>
    <row r="88" spans="1:8" ht="30">
      <c r="A88" s="252">
        <v>24062100</v>
      </c>
      <c r="B88" s="161" t="s">
        <v>150</v>
      </c>
      <c r="C88" s="301">
        <f>D88+E88</f>
        <v>66000</v>
      </c>
      <c r="D88" s="304">
        <v>0</v>
      </c>
      <c r="E88" s="304">
        <v>66000</v>
      </c>
      <c r="F88" s="305"/>
      <c r="G88" s="225"/>
      <c r="H88" s="228"/>
    </row>
    <row r="89" spans="1:8" ht="75">
      <c r="A89" s="252">
        <v>24062200</v>
      </c>
      <c r="B89" s="161" t="s">
        <v>357</v>
      </c>
      <c r="C89" s="301">
        <f t="shared" si="0"/>
        <v>127200</v>
      </c>
      <c r="D89" s="304">
        <f>73200+17000+37000</f>
        <v>127200</v>
      </c>
      <c r="E89" s="304"/>
      <c r="F89" s="305"/>
      <c r="G89" s="225"/>
      <c r="H89" s="228"/>
    </row>
    <row r="90" spans="1:8" ht="14.25">
      <c r="A90" s="251">
        <v>24170000</v>
      </c>
      <c r="B90" s="159" t="s">
        <v>160</v>
      </c>
      <c r="C90" s="295">
        <f t="shared" si="0"/>
        <v>0</v>
      </c>
      <c r="D90" s="297">
        <v>0</v>
      </c>
      <c r="E90" s="297">
        <f>F90</f>
        <v>0</v>
      </c>
      <c r="F90" s="298"/>
      <c r="G90" s="225"/>
      <c r="H90" s="228"/>
    </row>
    <row r="91" spans="1:8" ht="15">
      <c r="A91" s="251" t="s">
        <v>284</v>
      </c>
      <c r="B91" s="160" t="s">
        <v>358</v>
      </c>
      <c r="C91" s="301">
        <f t="shared" si="0"/>
        <v>2502155</v>
      </c>
      <c r="D91" s="297">
        <v>0</v>
      </c>
      <c r="E91" s="297">
        <f>E92+E96</f>
        <v>2502155</v>
      </c>
      <c r="F91" s="298">
        <v>0</v>
      </c>
      <c r="G91" s="225"/>
      <c r="H91" s="226"/>
    </row>
    <row r="92" spans="1:8" ht="28.5">
      <c r="A92" s="251">
        <v>25010000</v>
      </c>
      <c r="B92" s="160" t="s">
        <v>86</v>
      </c>
      <c r="C92" s="295">
        <f>E92</f>
        <v>1962155</v>
      </c>
      <c r="D92" s="297">
        <v>0</v>
      </c>
      <c r="E92" s="297">
        <f>E93+E94+E95</f>
        <v>1962155</v>
      </c>
      <c r="F92" s="298">
        <v>0</v>
      </c>
      <c r="G92" s="225"/>
      <c r="H92" s="226"/>
    </row>
    <row r="93" spans="1:8" ht="15">
      <c r="A93" s="255" t="s">
        <v>285</v>
      </c>
      <c r="B93" s="162" t="s">
        <v>87</v>
      </c>
      <c r="C93" s="301">
        <f>D93+E93</f>
        <v>1931155</v>
      </c>
      <c r="D93" s="169">
        <v>0</v>
      </c>
      <c r="E93" s="169">
        <v>1931155</v>
      </c>
      <c r="F93" s="256">
        <v>0</v>
      </c>
      <c r="G93" s="225"/>
      <c r="H93" s="226"/>
    </row>
    <row r="94" spans="1:8" ht="30">
      <c r="A94" s="255" t="s">
        <v>286</v>
      </c>
      <c r="B94" s="162" t="s">
        <v>287</v>
      </c>
      <c r="C94" s="301">
        <f>D94+E94</f>
        <v>31000</v>
      </c>
      <c r="D94" s="169">
        <v>0</v>
      </c>
      <c r="E94" s="169">
        <v>31000</v>
      </c>
      <c r="F94" s="256">
        <v>0</v>
      </c>
      <c r="G94" s="225"/>
      <c r="H94" s="227"/>
    </row>
    <row r="95" spans="1:8" ht="15" hidden="1">
      <c r="A95" s="257">
        <v>25010400</v>
      </c>
      <c r="B95" s="163" t="s">
        <v>381</v>
      </c>
      <c r="C95" s="301">
        <f>D95+E95</f>
        <v>0</v>
      </c>
      <c r="D95" s="169">
        <v>0</v>
      </c>
      <c r="E95" s="169"/>
      <c r="F95" s="256">
        <v>0</v>
      </c>
      <c r="G95" s="225"/>
      <c r="H95" s="226"/>
    </row>
    <row r="96" spans="1:8" ht="14.25">
      <c r="A96" s="258">
        <v>25020000</v>
      </c>
      <c r="B96" s="164" t="s">
        <v>382</v>
      </c>
      <c r="C96" s="170">
        <f>E96</f>
        <v>540000</v>
      </c>
      <c r="D96" s="170">
        <f>D97+D98</f>
        <v>0</v>
      </c>
      <c r="E96" s="170">
        <f>E97+E98</f>
        <v>540000</v>
      </c>
      <c r="F96" s="259">
        <v>0</v>
      </c>
      <c r="G96" s="225"/>
      <c r="H96" s="227"/>
    </row>
    <row r="97" spans="1:8" ht="15" hidden="1">
      <c r="A97" s="257" t="s">
        <v>288</v>
      </c>
      <c r="B97" s="163" t="s">
        <v>377</v>
      </c>
      <c r="C97" s="169">
        <f>E97</f>
        <v>0</v>
      </c>
      <c r="D97" s="169">
        <v>0</v>
      </c>
      <c r="E97" s="169">
        <v>0</v>
      </c>
      <c r="F97" s="256">
        <v>0</v>
      </c>
      <c r="G97" s="225"/>
      <c r="H97" s="226"/>
    </row>
    <row r="98" spans="1:8" ht="60">
      <c r="A98" s="255" t="s">
        <v>289</v>
      </c>
      <c r="B98" s="165" t="s">
        <v>290</v>
      </c>
      <c r="C98" s="169">
        <f>E98</f>
        <v>540000</v>
      </c>
      <c r="D98" s="169">
        <v>0</v>
      </c>
      <c r="E98" s="169">
        <v>540000</v>
      </c>
      <c r="F98" s="256">
        <v>0</v>
      </c>
      <c r="G98" s="225"/>
      <c r="H98" s="227"/>
    </row>
    <row r="99" spans="1:8" ht="20.25" customHeight="1">
      <c r="A99" s="309" t="s">
        <v>291</v>
      </c>
      <c r="B99" s="263" t="s">
        <v>292</v>
      </c>
      <c r="C99" s="310">
        <f t="shared" ref="C99:C110" si="1">D99+E99</f>
        <v>5964099</v>
      </c>
      <c r="D99" s="311">
        <v>0</v>
      </c>
      <c r="E99" s="311">
        <f>E103+E104</f>
        <v>5964099</v>
      </c>
      <c r="F99" s="447">
        <f>F103+F104</f>
        <v>5964099</v>
      </c>
      <c r="G99" s="453"/>
      <c r="H99" s="226"/>
    </row>
    <row r="100" spans="1:8" ht="18.75" hidden="1" customHeight="1">
      <c r="A100" s="312" t="s">
        <v>293</v>
      </c>
      <c r="B100" s="264" t="s">
        <v>294</v>
      </c>
      <c r="C100" s="295">
        <f t="shared" si="1"/>
        <v>0</v>
      </c>
      <c r="D100" s="313">
        <v>0</v>
      </c>
      <c r="E100" s="313"/>
      <c r="F100" s="448"/>
      <c r="G100" s="453"/>
      <c r="H100" s="226"/>
    </row>
    <row r="101" spans="1:8" ht="42.75" hidden="1">
      <c r="A101" s="312" t="s">
        <v>295</v>
      </c>
      <c r="B101" s="264" t="s">
        <v>296</v>
      </c>
      <c r="C101" s="295">
        <f t="shared" si="1"/>
        <v>0</v>
      </c>
      <c r="D101" s="313">
        <f>D102</f>
        <v>0</v>
      </c>
      <c r="E101" s="313"/>
      <c r="F101" s="448"/>
      <c r="G101" s="453"/>
      <c r="H101" s="226"/>
    </row>
    <row r="102" spans="1:8" ht="45" hidden="1">
      <c r="A102" s="314" t="s">
        <v>297</v>
      </c>
      <c r="B102" s="315" t="s">
        <v>298</v>
      </c>
      <c r="C102" s="295">
        <f t="shared" si="1"/>
        <v>0</v>
      </c>
      <c r="D102" s="313">
        <v>0</v>
      </c>
      <c r="E102" s="313"/>
      <c r="F102" s="448"/>
      <c r="G102" s="453"/>
      <c r="H102" s="226"/>
    </row>
    <row r="103" spans="1:8" ht="28.5" hidden="1">
      <c r="A103" s="312" t="s">
        <v>299</v>
      </c>
      <c r="B103" s="264" t="s">
        <v>320</v>
      </c>
      <c r="C103" s="295">
        <f t="shared" si="1"/>
        <v>0</v>
      </c>
      <c r="D103" s="313">
        <v>0</v>
      </c>
      <c r="E103" s="313"/>
      <c r="F103" s="448"/>
      <c r="G103" s="453"/>
      <c r="H103" s="226"/>
    </row>
    <row r="104" spans="1:8" ht="14.25">
      <c r="A104" s="261">
        <v>33000000</v>
      </c>
      <c r="B104" s="262" t="s">
        <v>378</v>
      </c>
      <c r="C104" s="295">
        <f t="shared" si="1"/>
        <v>5964099</v>
      </c>
      <c r="D104" s="313">
        <f>D105</f>
        <v>0</v>
      </c>
      <c r="E104" s="313">
        <f>E105</f>
        <v>5964099</v>
      </c>
      <c r="F104" s="448">
        <f>F105</f>
        <v>5964099</v>
      </c>
      <c r="G104" s="454"/>
      <c r="H104" s="227"/>
    </row>
    <row r="105" spans="1:8" ht="14.25">
      <c r="A105" s="261">
        <v>33010000</v>
      </c>
      <c r="B105" s="262" t="s">
        <v>379</v>
      </c>
      <c r="C105" s="295">
        <f t="shared" si="1"/>
        <v>5964099</v>
      </c>
      <c r="D105" s="313">
        <f>D106+D107</f>
        <v>0</v>
      </c>
      <c r="E105" s="313">
        <f>E106+E107</f>
        <v>5964099</v>
      </c>
      <c r="F105" s="448">
        <f>F106+F107</f>
        <v>5964099</v>
      </c>
      <c r="G105" s="454"/>
      <c r="H105" s="227"/>
    </row>
    <row r="106" spans="1:8" ht="47.25" customHeight="1">
      <c r="A106" s="257" t="s">
        <v>300</v>
      </c>
      <c r="B106" s="325" t="s">
        <v>380</v>
      </c>
      <c r="C106" s="301">
        <f t="shared" si="1"/>
        <v>5329771</v>
      </c>
      <c r="D106" s="316">
        <f>D107+D108</f>
        <v>0</v>
      </c>
      <c r="E106" s="316">
        <f>F106</f>
        <v>5329771</v>
      </c>
      <c r="F106" s="449">
        <f>700000+2962859+27912+544000+459000+588000+48000</f>
        <v>5329771</v>
      </c>
      <c r="G106" s="454"/>
      <c r="H106" s="227"/>
    </row>
    <row r="107" spans="1:8" ht="15">
      <c r="A107" s="257" t="s">
        <v>301</v>
      </c>
      <c r="B107" s="163" t="s">
        <v>302</v>
      </c>
      <c r="C107" s="301">
        <f t="shared" si="1"/>
        <v>634328</v>
      </c>
      <c r="D107" s="316">
        <f>D108+D109</f>
        <v>0</v>
      </c>
      <c r="E107" s="316">
        <f>F107</f>
        <v>634328</v>
      </c>
      <c r="F107" s="449">
        <f>103328+45000+135000+153000+198000</f>
        <v>634328</v>
      </c>
      <c r="G107" s="455"/>
      <c r="H107" s="227"/>
    </row>
    <row r="108" spans="1:8" ht="15">
      <c r="A108" s="251">
        <v>50000000</v>
      </c>
      <c r="B108" s="160" t="s">
        <v>359</v>
      </c>
      <c r="C108" s="295">
        <f t="shared" si="1"/>
        <v>3000</v>
      </c>
      <c r="D108" s="297">
        <f>D109</f>
        <v>0</v>
      </c>
      <c r="E108" s="304">
        <f>E109</f>
        <v>3000</v>
      </c>
      <c r="F108" s="450">
        <v>0</v>
      </c>
      <c r="G108" s="455"/>
      <c r="H108" s="227"/>
    </row>
    <row r="109" spans="1:8" ht="30">
      <c r="A109" s="252">
        <v>50110000</v>
      </c>
      <c r="B109" s="161" t="s">
        <v>91</v>
      </c>
      <c r="C109" s="301">
        <f t="shared" si="1"/>
        <v>3000</v>
      </c>
      <c r="D109" s="304">
        <v>0</v>
      </c>
      <c r="E109" s="304">
        <v>3000</v>
      </c>
      <c r="F109" s="451">
        <v>0</v>
      </c>
      <c r="G109" s="454"/>
      <c r="H109" s="228"/>
    </row>
    <row r="110" spans="1:8" ht="14.25">
      <c r="A110" s="317" t="s">
        <v>363</v>
      </c>
      <c r="B110" s="166" t="s">
        <v>115</v>
      </c>
      <c r="C110" s="318">
        <f t="shared" si="1"/>
        <v>209364905</v>
      </c>
      <c r="D110" s="318">
        <f>D14+D63</f>
        <v>200710651</v>
      </c>
      <c r="E110" s="318">
        <f>E14+E63+E99+E108</f>
        <v>8654254</v>
      </c>
      <c r="F110" s="452">
        <f>F14+F63+F99+F108</f>
        <v>5964099</v>
      </c>
      <c r="G110" s="454"/>
      <c r="H110" s="225"/>
    </row>
    <row r="111" spans="1:8" ht="14.25">
      <c r="A111" s="319" t="s">
        <v>303</v>
      </c>
      <c r="B111" s="126" t="s">
        <v>360</v>
      </c>
      <c r="C111" s="297">
        <f>C112</f>
        <v>69567680.729999989</v>
      </c>
      <c r="D111" s="297">
        <f>D112</f>
        <v>69567680.729999989</v>
      </c>
      <c r="E111" s="297">
        <f>E112</f>
        <v>0</v>
      </c>
      <c r="F111" s="450">
        <f>F112</f>
        <v>0</v>
      </c>
      <c r="G111" s="456"/>
      <c r="H111" s="225"/>
    </row>
    <row r="112" spans="1:8" ht="14.25">
      <c r="A112" s="319" t="s">
        <v>304</v>
      </c>
      <c r="B112" s="126" t="s">
        <v>361</v>
      </c>
      <c r="C112" s="297">
        <f>C113+C115+C119+C123</f>
        <v>69567680.729999989</v>
      </c>
      <c r="D112" s="297">
        <f>D113+D115+D119+D123</f>
        <v>69567680.729999989</v>
      </c>
      <c r="E112" s="297">
        <f>E113+E115+E119+E123</f>
        <v>0</v>
      </c>
      <c r="F112" s="298">
        <f>F113+F115+F119+F123</f>
        <v>0</v>
      </c>
    </row>
    <row r="113" spans="1:8" ht="18.75" customHeight="1">
      <c r="A113" s="320" t="s">
        <v>305</v>
      </c>
      <c r="B113" s="123" t="s">
        <v>365</v>
      </c>
      <c r="C113" s="297">
        <f>C114</f>
        <v>766900</v>
      </c>
      <c r="D113" s="297">
        <f>D114</f>
        <v>766900</v>
      </c>
      <c r="E113" s="297">
        <f>E114</f>
        <v>0</v>
      </c>
      <c r="F113" s="298">
        <f>F114</f>
        <v>0</v>
      </c>
    </row>
    <row r="114" spans="1:8" ht="60">
      <c r="A114" s="260">
        <v>41021400</v>
      </c>
      <c r="B114" s="124" t="s">
        <v>678</v>
      </c>
      <c r="C114" s="304">
        <f>D114+E114</f>
        <v>766900</v>
      </c>
      <c r="D114" s="304">
        <v>766900</v>
      </c>
      <c r="E114" s="304">
        <v>0</v>
      </c>
      <c r="F114" s="305">
        <v>0</v>
      </c>
    </row>
    <row r="115" spans="1:8" ht="18.75" customHeight="1">
      <c r="A115" s="319" t="s">
        <v>306</v>
      </c>
      <c r="B115" s="125" t="s">
        <v>362</v>
      </c>
      <c r="C115" s="297">
        <f>SUM(C116:C118)</f>
        <v>58638400</v>
      </c>
      <c r="D115" s="297">
        <f>SUM(D116:D118)</f>
        <v>58638400</v>
      </c>
      <c r="E115" s="297">
        <f>SUM(E116:E118)</f>
        <v>0</v>
      </c>
      <c r="F115" s="298">
        <f>SUM(F116:F118)</f>
        <v>0</v>
      </c>
    </row>
    <row r="116" spans="1:8" ht="15">
      <c r="A116" s="321" t="s">
        <v>307</v>
      </c>
      <c r="B116" s="127" t="s">
        <v>94</v>
      </c>
      <c r="C116" s="304">
        <f>D116+E116</f>
        <v>58638400</v>
      </c>
      <c r="D116" s="304">
        <f>58638100+300</f>
        <v>58638400</v>
      </c>
      <c r="E116" s="302">
        <v>0</v>
      </c>
      <c r="F116" s="303">
        <v>0</v>
      </c>
    </row>
    <row r="117" spans="1:8" ht="30" hidden="1">
      <c r="A117" s="260">
        <v>41035200</v>
      </c>
      <c r="B117" s="129" t="s">
        <v>144</v>
      </c>
      <c r="C117" s="304">
        <f>D117+E117</f>
        <v>0</v>
      </c>
      <c r="D117" s="304"/>
      <c r="E117" s="302"/>
      <c r="F117" s="303"/>
    </row>
    <row r="118" spans="1:8" ht="30" hidden="1">
      <c r="A118" s="260">
        <v>41034500</v>
      </c>
      <c r="B118" s="129" t="s">
        <v>368</v>
      </c>
      <c r="C118" s="304">
        <f>D118+E118</f>
        <v>0</v>
      </c>
      <c r="D118" s="304"/>
      <c r="E118" s="302"/>
      <c r="F118" s="303"/>
    </row>
    <row r="119" spans="1:8" ht="19.5" customHeight="1">
      <c r="A119" s="320" t="s">
        <v>308</v>
      </c>
      <c r="B119" s="123" t="s">
        <v>309</v>
      </c>
      <c r="C119" s="297">
        <f>C120+C122+C121</f>
        <v>2707547.73</v>
      </c>
      <c r="D119" s="297">
        <f>D120+D122+D121</f>
        <v>2707547.73</v>
      </c>
      <c r="E119" s="297">
        <f>E120+E122+E121</f>
        <v>0</v>
      </c>
      <c r="F119" s="297">
        <f>F120+F122+F121</f>
        <v>0</v>
      </c>
    </row>
    <row r="120" spans="1:8" ht="45">
      <c r="A120" s="260" t="s">
        <v>310</v>
      </c>
      <c r="B120" s="124" t="s">
        <v>311</v>
      </c>
      <c r="C120" s="304">
        <f>D120+E120</f>
        <v>2691900</v>
      </c>
      <c r="D120" s="304">
        <v>2691900</v>
      </c>
      <c r="E120" s="302">
        <v>0</v>
      </c>
      <c r="F120" s="303">
        <v>0</v>
      </c>
    </row>
    <row r="121" spans="1:8" ht="15">
      <c r="A121" s="260" t="s">
        <v>312</v>
      </c>
      <c r="B121" s="124" t="s">
        <v>313</v>
      </c>
      <c r="C121" s="304">
        <f>D121+E121</f>
        <v>15647.73</v>
      </c>
      <c r="D121" s="304">
        <v>15647.73</v>
      </c>
      <c r="E121" s="302"/>
      <c r="F121" s="303"/>
    </row>
    <row r="122" spans="1:8" ht="60" hidden="1">
      <c r="A122" s="260" t="s">
        <v>314</v>
      </c>
      <c r="B122" s="124" t="s">
        <v>76</v>
      </c>
      <c r="C122" s="304">
        <f>D122+E122</f>
        <v>0</v>
      </c>
      <c r="D122" s="304"/>
      <c r="E122" s="302"/>
      <c r="F122" s="303"/>
    </row>
    <row r="123" spans="1:8" ht="17.25" customHeight="1">
      <c r="A123" s="320" t="s">
        <v>315</v>
      </c>
      <c r="B123" s="123" t="s">
        <v>316</v>
      </c>
      <c r="C123" s="297">
        <f>SUM(C124:C133)</f>
        <v>7454833</v>
      </c>
      <c r="D123" s="297">
        <f>SUM(D124:D133)</f>
        <v>7454833</v>
      </c>
      <c r="E123" s="297">
        <f>SUM(E125:E133)</f>
        <v>0</v>
      </c>
      <c r="F123" s="298">
        <f>SUM(F125:F133)</f>
        <v>0</v>
      </c>
      <c r="H123" s="115"/>
    </row>
    <row r="124" spans="1:8" ht="60" hidden="1">
      <c r="A124" s="260">
        <v>41050900</v>
      </c>
      <c r="B124" s="124" t="s">
        <v>367</v>
      </c>
      <c r="C124" s="304">
        <f>D124+E124</f>
        <v>0</v>
      </c>
      <c r="D124" s="304"/>
      <c r="E124" s="297"/>
      <c r="F124" s="298"/>
      <c r="H124" s="115"/>
    </row>
    <row r="125" spans="1:8" ht="30">
      <c r="A125" s="260" t="s">
        <v>317</v>
      </c>
      <c r="B125" s="124" t="s">
        <v>397</v>
      </c>
      <c r="C125" s="304">
        <f t="shared" ref="C125:C132" si="2">D125+E125</f>
        <v>670383</v>
      </c>
      <c r="D125" s="304">
        <v>670383</v>
      </c>
      <c r="E125" s="302">
        <v>0</v>
      </c>
      <c r="F125" s="303">
        <v>0</v>
      </c>
    </row>
    <row r="126" spans="1:8" ht="30" hidden="1">
      <c r="A126" s="260">
        <v>41051100</v>
      </c>
      <c r="B126" s="124" t="s">
        <v>3</v>
      </c>
      <c r="C126" s="304">
        <f t="shared" si="2"/>
        <v>0</v>
      </c>
      <c r="D126" s="304"/>
      <c r="E126" s="302"/>
      <c r="F126" s="303"/>
    </row>
    <row r="127" spans="1:8" ht="30">
      <c r="A127" s="260" t="s">
        <v>318</v>
      </c>
      <c r="B127" s="124" t="s">
        <v>398</v>
      </c>
      <c r="C127" s="304">
        <f t="shared" si="2"/>
        <v>116197</v>
      </c>
      <c r="D127" s="304">
        <v>116197</v>
      </c>
      <c r="E127" s="302">
        <v>0</v>
      </c>
      <c r="F127" s="303">
        <v>0</v>
      </c>
    </row>
    <row r="128" spans="1:8" ht="45" hidden="1">
      <c r="A128" s="260">
        <v>41051400</v>
      </c>
      <c r="B128" s="124" t="s">
        <v>142</v>
      </c>
      <c r="C128" s="304">
        <f t="shared" si="2"/>
        <v>0</v>
      </c>
      <c r="D128" s="304"/>
      <c r="E128" s="302"/>
      <c r="F128" s="303"/>
    </row>
    <row r="129" spans="1:8" ht="33" customHeight="1">
      <c r="A129" s="260">
        <v>41051700</v>
      </c>
      <c r="B129" s="124" t="s">
        <v>143</v>
      </c>
      <c r="C129" s="304">
        <f t="shared" si="2"/>
        <v>64655</v>
      </c>
      <c r="D129" s="304">
        <v>64655</v>
      </c>
      <c r="E129" s="302"/>
      <c r="F129" s="303"/>
    </row>
    <row r="130" spans="1:8" ht="15">
      <c r="A130" s="260" t="s">
        <v>319</v>
      </c>
      <c r="B130" s="128" t="s">
        <v>182</v>
      </c>
      <c r="C130" s="304">
        <f t="shared" si="2"/>
        <v>4440512</v>
      </c>
      <c r="D130" s="304">
        <f>'Додаток 4'!D42</f>
        <v>4440512</v>
      </c>
      <c r="E130" s="302"/>
      <c r="F130" s="303"/>
    </row>
    <row r="131" spans="1:8" ht="30">
      <c r="A131" s="260">
        <v>41057700</v>
      </c>
      <c r="B131" s="129" t="s">
        <v>716</v>
      </c>
      <c r="C131" s="304">
        <f t="shared" si="2"/>
        <v>98086</v>
      </c>
      <c r="D131" s="304">
        <v>98086</v>
      </c>
      <c r="E131" s="302">
        <v>0</v>
      </c>
      <c r="F131" s="303">
        <v>0</v>
      </c>
    </row>
    <row r="132" spans="1:8" ht="30">
      <c r="A132" s="260">
        <v>41058900</v>
      </c>
      <c r="B132" s="129" t="s">
        <v>725</v>
      </c>
      <c r="C132" s="304">
        <f t="shared" si="2"/>
        <v>2065000</v>
      </c>
      <c r="D132" s="304">
        <v>2065000</v>
      </c>
      <c r="E132" s="302"/>
      <c r="F132" s="303"/>
    </row>
    <row r="133" spans="1:8" ht="15" hidden="1">
      <c r="A133" s="260"/>
      <c r="B133" s="129"/>
      <c r="C133" s="297"/>
      <c r="D133" s="297"/>
      <c r="E133" s="302"/>
      <c r="F133" s="303"/>
    </row>
    <row r="134" spans="1:8" ht="15" thickBot="1">
      <c r="A134" s="441" t="s">
        <v>363</v>
      </c>
      <c r="B134" s="442" t="s">
        <v>364</v>
      </c>
      <c r="C134" s="443">
        <f>C110+C111</f>
        <v>278932585.73000002</v>
      </c>
      <c r="D134" s="443">
        <f>D110+D111</f>
        <v>270278331.73000002</v>
      </c>
      <c r="E134" s="443">
        <f>E110+E111</f>
        <v>8654254</v>
      </c>
      <c r="F134" s="444">
        <f>F110+F111</f>
        <v>5964099</v>
      </c>
    </row>
    <row r="135" spans="1:8" ht="14.25">
      <c r="A135" s="171"/>
      <c r="B135" s="172"/>
      <c r="C135" s="173"/>
      <c r="D135" s="174"/>
      <c r="E135" s="174"/>
      <c r="F135" s="174"/>
      <c r="G135" s="110"/>
    </row>
    <row r="136" spans="1:8" ht="15">
      <c r="A136" s="116"/>
      <c r="B136" s="7" t="s">
        <v>145</v>
      </c>
      <c r="C136" s="7"/>
      <c r="D136" s="136"/>
      <c r="E136" s="70"/>
    </row>
    <row r="138" spans="1:8">
      <c r="C138" s="228"/>
      <c r="D138" s="228"/>
      <c r="E138" s="228"/>
      <c r="F138" s="228"/>
      <c r="G138" s="225"/>
    </row>
    <row r="139" spans="1:8">
      <c r="B139" s="293"/>
      <c r="C139" s="292"/>
      <c r="D139" s="292"/>
      <c r="E139" s="292"/>
      <c r="F139" s="292"/>
      <c r="G139" s="225"/>
      <c r="H139" s="225"/>
    </row>
    <row r="140" spans="1:8">
      <c r="B140" s="291" t="s">
        <v>746</v>
      </c>
      <c r="C140" s="291">
        <v>199358544</v>
      </c>
      <c r="D140" s="225">
        <v>191604290</v>
      </c>
      <c r="E140" s="225">
        <v>7754254</v>
      </c>
      <c r="F140" s="225">
        <v>5130099</v>
      </c>
      <c r="G140" s="225"/>
      <c r="H140" s="225"/>
    </row>
    <row r="141" spans="1:8">
      <c r="B141" s="291" t="s">
        <v>747</v>
      </c>
      <c r="C141" s="469">
        <f>C110-C140</f>
        <v>10006361</v>
      </c>
      <c r="D141" s="469">
        <f>D110-D140</f>
        <v>9106361</v>
      </c>
      <c r="E141" s="469">
        <f>E110-E140</f>
        <v>900000</v>
      </c>
      <c r="F141" s="469">
        <f>F110-F140</f>
        <v>834000</v>
      </c>
      <c r="G141" s="225"/>
      <c r="H141" s="225"/>
    </row>
    <row r="142" spans="1:8">
      <c r="C142" s="292"/>
      <c r="D142" s="292"/>
      <c r="E142" s="292"/>
      <c r="F142" s="292"/>
      <c r="G142" s="225"/>
      <c r="H142" s="225"/>
    </row>
    <row r="143" spans="1:8">
      <c r="B143" s="291" t="s">
        <v>746</v>
      </c>
      <c r="C143" s="469">
        <v>204056523</v>
      </c>
      <c r="D143" s="472">
        <v>195516269</v>
      </c>
      <c r="E143" s="472">
        <v>8540254</v>
      </c>
      <c r="F143" s="472">
        <v>5916099</v>
      </c>
    </row>
    <row r="144" spans="1:8">
      <c r="B144" s="291" t="s">
        <v>757</v>
      </c>
      <c r="C144" s="473">
        <f>C110-C143</f>
        <v>5308382</v>
      </c>
      <c r="D144" s="473">
        <f>D110-D143</f>
        <v>5194382</v>
      </c>
      <c r="E144" s="473">
        <f>E110-E143</f>
        <v>114000</v>
      </c>
      <c r="F144" s="473">
        <f>F110-F143</f>
        <v>48000</v>
      </c>
    </row>
    <row r="147" spans="4:4">
      <c r="D147" s="115"/>
    </row>
  </sheetData>
  <sheetProtection autoFilter="0"/>
  <mergeCells count="11">
    <mergeCell ref="A11:A12"/>
    <mergeCell ref="B11:B12"/>
    <mergeCell ref="C11:C12"/>
    <mergeCell ref="D11:D12"/>
    <mergeCell ref="E11:F11"/>
    <mergeCell ref="D2:F2"/>
    <mergeCell ref="D3:F3"/>
    <mergeCell ref="D6:F6"/>
    <mergeCell ref="A7:F7"/>
    <mergeCell ref="A10:F10"/>
    <mergeCell ref="A8:B8"/>
  </mergeCells>
  <phoneticPr fontId="0" type="noConversion"/>
  <printOptions horizontalCentered="1"/>
  <pageMargins left="0.39370078740157483" right="0.39370078740157483" top="0.47244094488188981" bottom="0.39370078740157483" header="0.19685039370078741" footer="0.27559055118110237"/>
  <pageSetup paperSize="9" scale="87" firstPageNumber="2" orientation="landscape" useFirstPageNumber="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topLeftCell="A4" zoomScaleNormal="100" workbookViewId="0">
      <selection activeCell="D17" sqref="D17"/>
    </sheetView>
  </sheetViews>
  <sheetFormatPr defaultRowHeight="12.75"/>
  <cols>
    <col min="1" max="1" width="13.28515625" customWidth="1"/>
    <col min="2" max="2" width="42.5703125" customWidth="1"/>
    <col min="3" max="3" width="14.28515625" customWidth="1"/>
    <col min="4" max="4" width="14" customWidth="1"/>
    <col min="5" max="5" width="12.7109375" customWidth="1"/>
    <col min="6" max="6" width="13.5703125" customWidth="1"/>
    <col min="7" max="7" width="11.5703125" customWidth="1"/>
    <col min="8" max="8" width="11.5703125" bestFit="1" customWidth="1"/>
    <col min="9" max="9" width="13.85546875" customWidth="1"/>
    <col min="10" max="10" width="12.28515625" customWidth="1"/>
    <col min="11" max="11" width="13.5703125" customWidth="1"/>
    <col min="257" max="257" width="13.28515625" customWidth="1"/>
    <col min="258" max="258" width="42.5703125" customWidth="1"/>
    <col min="259" max="259" width="14.28515625" customWidth="1"/>
    <col min="260" max="260" width="14" customWidth="1"/>
    <col min="261" max="261" width="12.7109375" customWidth="1"/>
    <col min="262" max="262" width="13.5703125" customWidth="1"/>
    <col min="263" max="263" width="11.5703125" customWidth="1"/>
    <col min="264" max="264" width="11.5703125" bestFit="1" customWidth="1"/>
    <col min="265" max="265" width="13.85546875" customWidth="1"/>
    <col min="266" max="266" width="12.28515625" customWidth="1"/>
    <col min="267" max="267" width="13.5703125" customWidth="1"/>
    <col min="513" max="513" width="13.28515625" customWidth="1"/>
    <col min="514" max="514" width="42.5703125" customWidth="1"/>
    <col min="515" max="515" width="14.28515625" customWidth="1"/>
    <col min="516" max="516" width="14" customWidth="1"/>
    <col min="517" max="517" width="12.7109375" customWidth="1"/>
    <col min="518" max="518" width="13.5703125" customWidth="1"/>
    <col min="519" max="519" width="11.5703125" customWidth="1"/>
    <col min="520" max="520" width="11.5703125" bestFit="1" customWidth="1"/>
    <col min="521" max="521" width="13.85546875" customWidth="1"/>
    <col min="522" max="522" width="12.28515625" customWidth="1"/>
    <col min="523" max="523" width="13.5703125" customWidth="1"/>
    <col min="769" max="769" width="13.28515625" customWidth="1"/>
    <col min="770" max="770" width="42.5703125" customWidth="1"/>
    <col min="771" max="771" width="14.28515625" customWidth="1"/>
    <col min="772" max="772" width="14" customWidth="1"/>
    <col min="773" max="773" width="12.7109375" customWidth="1"/>
    <col min="774" max="774" width="13.5703125" customWidth="1"/>
    <col min="775" max="775" width="11.5703125" customWidth="1"/>
    <col min="776" max="776" width="11.5703125" bestFit="1" customWidth="1"/>
    <col min="777" max="777" width="13.85546875" customWidth="1"/>
    <col min="778" max="778" width="12.28515625" customWidth="1"/>
    <col min="779" max="779" width="13.5703125" customWidth="1"/>
    <col min="1025" max="1025" width="13.28515625" customWidth="1"/>
    <col min="1026" max="1026" width="42.5703125" customWidth="1"/>
    <col min="1027" max="1027" width="14.28515625" customWidth="1"/>
    <col min="1028" max="1028" width="14" customWidth="1"/>
    <col min="1029" max="1029" width="12.7109375" customWidth="1"/>
    <col min="1030" max="1030" width="13.5703125" customWidth="1"/>
    <col min="1031" max="1031" width="11.5703125" customWidth="1"/>
    <col min="1032" max="1032" width="11.5703125" bestFit="1" customWidth="1"/>
    <col min="1033" max="1033" width="13.85546875" customWidth="1"/>
    <col min="1034" max="1034" width="12.28515625" customWidth="1"/>
    <col min="1035" max="1035" width="13.5703125" customWidth="1"/>
    <col min="1281" max="1281" width="13.28515625" customWidth="1"/>
    <col min="1282" max="1282" width="42.5703125" customWidth="1"/>
    <col min="1283" max="1283" width="14.28515625" customWidth="1"/>
    <col min="1284" max="1284" width="14" customWidth="1"/>
    <col min="1285" max="1285" width="12.7109375" customWidth="1"/>
    <col min="1286" max="1286" width="13.5703125" customWidth="1"/>
    <col min="1287" max="1287" width="11.5703125" customWidth="1"/>
    <col min="1288" max="1288" width="11.5703125" bestFit="1" customWidth="1"/>
    <col min="1289" max="1289" width="13.85546875" customWidth="1"/>
    <col min="1290" max="1290" width="12.28515625" customWidth="1"/>
    <col min="1291" max="1291" width="13.5703125" customWidth="1"/>
    <col min="1537" max="1537" width="13.28515625" customWidth="1"/>
    <col min="1538" max="1538" width="42.5703125" customWidth="1"/>
    <col min="1539" max="1539" width="14.28515625" customWidth="1"/>
    <col min="1540" max="1540" width="14" customWidth="1"/>
    <col min="1541" max="1541" width="12.7109375" customWidth="1"/>
    <col min="1542" max="1542" width="13.5703125" customWidth="1"/>
    <col min="1543" max="1543" width="11.5703125" customWidth="1"/>
    <col min="1544" max="1544" width="11.5703125" bestFit="1" customWidth="1"/>
    <col min="1545" max="1545" width="13.85546875" customWidth="1"/>
    <col min="1546" max="1546" width="12.28515625" customWidth="1"/>
    <col min="1547" max="1547" width="13.5703125" customWidth="1"/>
    <col min="1793" max="1793" width="13.28515625" customWidth="1"/>
    <col min="1794" max="1794" width="42.5703125" customWidth="1"/>
    <col min="1795" max="1795" width="14.28515625" customWidth="1"/>
    <col min="1796" max="1796" width="14" customWidth="1"/>
    <col min="1797" max="1797" width="12.7109375" customWidth="1"/>
    <col min="1798" max="1798" width="13.5703125" customWidth="1"/>
    <col min="1799" max="1799" width="11.5703125" customWidth="1"/>
    <col min="1800" max="1800" width="11.5703125" bestFit="1" customWidth="1"/>
    <col min="1801" max="1801" width="13.85546875" customWidth="1"/>
    <col min="1802" max="1802" width="12.28515625" customWidth="1"/>
    <col min="1803" max="1803" width="13.5703125" customWidth="1"/>
    <col min="2049" max="2049" width="13.28515625" customWidth="1"/>
    <col min="2050" max="2050" width="42.5703125" customWidth="1"/>
    <col min="2051" max="2051" width="14.28515625" customWidth="1"/>
    <col min="2052" max="2052" width="14" customWidth="1"/>
    <col min="2053" max="2053" width="12.7109375" customWidth="1"/>
    <col min="2054" max="2054" width="13.5703125" customWidth="1"/>
    <col min="2055" max="2055" width="11.5703125" customWidth="1"/>
    <col min="2056" max="2056" width="11.5703125" bestFit="1" customWidth="1"/>
    <col min="2057" max="2057" width="13.85546875" customWidth="1"/>
    <col min="2058" max="2058" width="12.28515625" customWidth="1"/>
    <col min="2059" max="2059" width="13.5703125" customWidth="1"/>
    <col min="2305" max="2305" width="13.28515625" customWidth="1"/>
    <col min="2306" max="2306" width="42.5703125" customWidth="1"/>
    <col min="2307" max="2307" width="14.28515625" customWidth="1"/>
    <col min="2308" max="2308" width="14" customWidth="1"/>
    <col min="2309" max="2309" width="12.7109375" customWidth="1"/>
    <col min="2310" max="2310" width="13.5703125" customWidth="1"/>
    <col min="2311" max="2311" width="11.5703125" customWidth="1"/>
    <col min="2312" max="2312" width="11.5703125" bestFit="1" customWidth="1"/>
    <col min="2313" max="2313" width="13.85546875" customWidth="1"/>
    <col min="2314" max="2314" width="12.28515625" customWidth="1"/>
    <col min="2315" max="2315" width="13.5703125" customWidth="1"/>
    <col min="2561" max="2561" width="13.28515625" customWidth="1"/>
    <col min="2562" max="2562" width="42.5703125" customWidth="1"/>
    <col min="2563" max="2563" width="14.28515625" customWidth="1"/>
    <col min="2564" max="2564" width="14" customWidth="1"/>
    <col min="2565" max="2565" width="12.7109375" customWidth="1"/>
    <col min="2566" max="2566" width="13.5703125" customWidth="1"/>
    <col min="2567" max="2567" width="11.5703125" customWidth="1"/>
    <col min="2568" max="2568" width="11.5703125" bestFit="1" customWidth="1"/>
    <col min="2569" max="2569" width="13.85546875" customWidth="1"/>
    <col min="2570" max="2570" width="12.28515625" customWidth="1"/>
    <col min="2571" max="2571" width="13.5703125" customWidth="1"/>
    <col min="2817" max="2817" width="13.28515625" customWidth="1"/>
    <col min="2818" max="2818" width="42.5703125" customWidth="1"/>
    <col min="2819" max="2819" width="14.28515625" customWidth="1"/>
    <col min="2820" max="2820" width="14" customWidth="1"/>
    <col min="2821" max="2821" width="12.7109375" customWidth="1"/>
    <col min="2822" max="2822" width="13.5703125" customWidth="1"/>
    <col min="2823" max="2823" width="11.5703125" customWidth="1"/>
    <col min="2824" max="2824" width="11.5703125" bestFit="1" customWidth="1"/>
    <col min="2825" max="2825" width="13.85546875" customWidth="1"/>
    <col min="2826" max="2826" width="12.28515625" customWidth="1"/>
    <col min="2827" max="2827" width="13.5703125" customWidth="1"/>
    <col min="3073" max="3073" width="13.28515625" customWidth="1"/>
    <col min="3074" max="3074" width="42.5703125" customWidth="1"/>
    <col min="3075" max="3075" width="14.28515625" customWidth="1"/>
    <col min="3076" max="3076" width="14" customWidth="1"/>
    <col min="3077" max="3077" width="12.7109375" customWidth="1"/>
    <col min="3078" max="3078" width="13.5703125" customWidth="1"/>
    <col min="3079" max="3079" width="11.5703125" customWidth="1"/>
    <col min="3080" max="3080" width="11.5703125" bestFit="1" customWidth="1"/>
    <col min="3081" max="3081" width="13.85546875" customWidth="1"/>
    <col min="3082" max="3082" width="12.28515625" customWidth="1"/>
    <col min="3083" max="3083" width="13.5703125" customWidth="1"/>
    <col min="3329" max="3329" width="13.28515625" customWidth="1"/>
    <col min="3330" max="3330" width="42.5703125" customWidth="1"/>
    <col min="3331" max="3331" width="14.28515625" customWidth="1"/>
    <col min="3332" max="3332" width="14" customWidth="1"/>
    <col min="3333" max="3333" width="12.7109375" customWidth="1"/>
    <col min="3334" max="3334" width="13.5703125" customWidth="1"/>
    <col min="3335" max="3335" width="11.5703125" customWidth="1"/>
    <col min="3336" max="3336" width="11.5703125" bestFit="1" customWidth="1"/>
    <col min="3337" max="3337" width="13.85546875" customWidth="1"/>
    <col min="3338" max="3338" width="12.28515625" customWidth="1"/>
    <col min="3339" max="3339" width="13.5703125" customWidth="1"/>
    <col min="3585" max="3585" width="13.28515625" customWidth="1"/>
    <col min="3586" max="3586" width="42.5703125" customWidth="1"/>
    <col min="3587" max="3587" width="14.28515625" customWidth="1"/>
    <col min="3588" max="3588" width="14" customWidth="1"/>
    <col min="3589" max="3589" width="12.7109375" customWidth="1"/>
    <col min="3590" max="3590" width="13.5703125" customWidth="1"/>
    <col min="3591" max="3591" width="11.5703125" customWidth="1"/>
    <col min="3592" max="3592" width="11.5703125" bestFit="1" customWidth="1"/>
    <col min="3593" max="3593" width="13.85546875" customWidth="1"/>
    <col min="3594" max="3594" width="12.28515625" customWidth="1"/>
    <col min="3595" max="3595" width="13.5703125" customWidth="1"/>
    <col min="3841" max="3841" width="13.28515625" customWidth="1"/>
    <col min="3842" max="3842" width="42.5703125" customWidth="1"/>
    <col min="3843" max="3843" width="14.28515625" customWidth="1"/>
    <col min="3844" max="3844" width="14" customWidth="1"/>
    <col min="3845" max="3845" width="12.7109375" customWidth="1"/>
    <col min="3846" max="3846" width="13.5703125" customWidth="1"/>
    <col min="3847" max="3847" width="11.5703125" customWidth="1"/>
    <col min="3848" max="3848" width="11.5703125" bestFit="1" customWidth="1"/>
    <col min="3849" max="3849" width="13.85546875" customWidth="1"/>
    <col min="3850" max="3850" width="12.28515625" customWidth="1"/>
    <col min="3851" max="3851" width="13.5703125" customWidth="1"/>
    <col min="4097" max="4097" width="13.28515625" customWidth="1"/>
    <col min="4098" max="4098" width="42.5703125" customWidth="1"/>
    <col min="4099" max="4099" width="14.28515625" customWidth="1"/>
    <col min="4100" max="4100" width="14" customWidth="1"/>
    <col min="4101" max="4101" width="12.7109375" customWidth="1"/>
    <col min="4102" max="4102" width="13.5703125" customWidth="1"/>
    <col min="4103" max="4103" width="11.5703125" customWidth="1"/>
    <col min="4104" max="4104" width="11.5703125" bestFit="1" customWidth="1"/>
    <col min="4105" max="4105" width="13.85546875" customWidth="1"/>
    <col min="4106" max="4106" width="12.28515625" customWidth="1"/>
    <col min="4107" max="4107" width="13.5703125" customWidth="1"/>
    <col min="4353" max="4353" width="13.28515625" customWidth="1"/>
    <col min="4354" max="4354" width="42.5703125" customWidth="1"/>
    <col min="4355" max="4355" width="14.28515625" customWidth="1"/>
    <col min="4356" max="4356" width="14" customWidth="1"/>
    <col min="4357" max="4357" width="12.7109375" customWidth="1"/>
    <col min="4358" max="4358" width="13.5703125" customWidth="1"/>
    <col min="4359" max="4359" width="11.5703125" customWidth="1"/>
    <col min="4360" max="4360" width="11.5703125" bestFit="1" customWidth="1"/>
    <col min="4361" max="4361" width="13.85546875" customWidth="1"/>
    <col min="4362" max="4362" width="12.28515625" customWidth="1"/>
    <col min="4363" max="4363" width="13.5703125" customWidth="1"/>
    <col min="4609" max="4609" width="13.28515625" customWidth="1"/>
    <col min="4610" max="4610" width="42.5703125" customWidth="1"/>
    <col min="4611" max="4611" width="14.28515625" customWidth="1"/>
    <col min="4612" max="4612" width="14" customWidth="1"/>
    <col min="4613" max="4613" width="12.7109375" customWidth="1"/>
    <col min="4614" max="4614" width="13.5703125" customWidth="1"/>
    <col min="4615" max="4615" width="11.5703125" customWidth="1"/>
    <col min="4616" max="4616" width="11.5703125" bestFit="1" customWidth="1"/>
    <col min="4617" max="4617" width="13.85546875" customWidth="1"/>
    <col min="4618" max="4618" width="12.28515625" customWidth="1"/>
    <col min="4619" max="4619" width="13.5703125" customWidth="1"/>
    <col min="4865" max="4865" width="13.28515625" customWidth="1"/>
    <col min="4866" max="4866" width="42.5703125" customWidth="1"/>
    <col min="4867" max="4867" width="14.28515625" customWidth="1"/>
    <col min="4868" max="4868" width="14" customWidth="1"/>
    <col min="4869" max="4869" width="12.7109375" customWidth="1"/>
    <col min="4870" max="4870" width="13.5703125" customWidth="1"/>
    <col min="4871" max="4871" width="11.5703125" customWidth="1"/>
    <col min="4872" max="4872" width="11.5703125" bestFit="1" customWidth="1"/>
    <col min="4873" max="4873" width="13.85546875" customWidth="1"/>
    <col min="4874" max="4874" width="12.28515625" customWidth="1"/>
    <col min="4875" max="4875" width="13.5703125" customWidth="1"/>
    <col min="5121" max="5121" width="13.28515625" customWidth="1"/>
    <col min="5122" max="5122" width="42.5703125" customWidth="1"/>
    <col min="5123" max="5123" width="14.28515625" customWidth="1"/>
    <col min="5124" max="5124" width="14" customWidth="1"/>
    <col min="5125" max="5125" width="12.7109375" customWidth="1"/>
    <col min="5126" max="5126" width="13.5703125" customWidth="1"/>
    <col min="5127" max="5127" width="11.5703125" customWidth="1"/>
    <col min="5128" max="5128" width="11.5703125" bestFit="1" customWidth="1"/>
    <col min="5129" max="5129" width="13.85546875" customWidth="1"/>
    <col min="5130" max="5130" width="12.28515625" customWidth="1"/>
    <col min="5131" max="5131" width="13.5703125" customWidth="1"/>
    <col min="5377" max="5377" width="13.28515625" customWidth="1"/>
    <col min="5378" max="5378" width="42.5703125" customWidth="1"/>
    <col min="5379" max="5379" width="14.28515625" customWidth="1"/>
    <col min="5380" max="5380" width="14" customWidth="1"/>
    <col min="5381" max="5381" width="12.7109375" customWidth="1"/>
    <col min="5382" max="5382" width="13.5703125" customWidth="1"/>
    <col min="5383" max="5383" width="11.5703125" customWidth="1"/>
    <col min="5384" max="5384" width="11.5703125" bestFit="1" customWidth="1"/>
    <col min="5385" max="5385" width="13.85546875" customWidth="1"/>
    <col min="5386" max="5386" width="12.28515625" customWidth="1"/>
    <col min="5387" max="5387" width="13.5703125" customWidth="1"/>
    <col min="5633" max="5633" width="13.28515625" customWidth="1"/>
    <col min="5634" max="5634" width="42.5703125" customWidth="1"/>
    <col min="5635" max="5635" width="14.28515625" customWidth="1"/>
    <col min="5636" max="5636" width="14" customWidth="1"/>
    <col min="5637" max="5637" width="12.7109375" customWidth="1"/>
    <col min="5638" max="5638" width="13.5703125" customWidth="1"/>
    <col min="5639" max="5639" width="11.5703125" customWidth="1"/>
    <col min="5640" max="5640" width="11.5703125" bestFit="1" customWidth="1"/>
    <col min="5641" max="5641" width="13.85546875" customWidth="1"/>
    <col min="5642" max="5642" width="12.28515625" customWidth="1"/>
    <col min="5643" max="5643" width="13.5703125" customWidth="1"/>
    <col min="5889" max="5889" width="13.28515625" customWidth="1"/>
    <col min="5890" max="5890" width="42.5703125" customWidth="1"/>
    <col min="5891" max="5891" width="14.28515625" customWidth="1"/>
    <col min="5892" max="5892" width="14" customWidth="1"/>
    <col min="5893" max="5893" width="12.7109375" customWidth="1"/>
    <col min="5894" max="5894" width="13.5703125" customWidth="1"/>
    <col min="5895" max="5895" width="11.5703125" customWidth="1"/>
    <col min="5896" max="5896" width="11.5703125" bestFit="1" customWidth="1"/>
    <col min="5897" max="5897" width="13.85546875" customWidth="1"/>
    <col min="5898" max="5898" width="12.28515625" customWidth="1"/>
    <col min="5899" max="5899" width="13.5703125" customWidth="1"/>
    <col min="6145" max="6145" width="13.28515625" customWidth="1"/>
    <col min="6146" max="6146" width="42.5703125" customWidth="1"/>
    <col min="6147" max="6147" width="14.28515625" customWidth="1"/>
    <col min="6148" max="6148" width="14" customWidth="1"/>
    <col min="6149" max="6149" width="12.7109375" customWidth="1"/>
    <col min="6150" max="6150" width="13.5703125" customWidth="1"/>
    <col min="6151" max="6151" width="11.5703125" customWidth="1"/>
    <col min="6152" max="6152" width="11.5703125" bestFit="1" customWidth="1"/>
    <col min="6153" max="6153" width="13.85546875" customWidth="1"/>
    <col min="6154" max="6154" width="12.28515625" customWidth="1"/>
    <col min="6155" max="6155" width="13.5703125" customWidth="1"/>
    <col min="6401" max="6401" width="13.28515625" customWidth="1"/>
    <col min="6402" max="6402" width="42.5703125" customWidth="1"/>
    <col min="6403" max="6403" width="14.28515625" customWidth="1"/>
    <col min="6404" max="6404" width="14" customWidth="1"/>
    <col min="6405" max="6405" width="12.7109375" customWidth="1"/>
    <col min="6406" max="6406" width="13.5703125" customWidth="1"/>
    <col min="6407" max="6407" width="11.5703125" customWidth="1"/>
    <col min="6408" max="6408" width="11.5703125" bestFit="1" customWidth="1"/>
    <col min="6409" max="6409" width="13.85546875" customWidth="1"/>
    <col min="6410" max="6410" width="12.28515625" customWidth="1"/>
    <col min="6411" max="6411" width="13.5703125" customWidth="1"/>
    <col min="6657" max="6657" width="13.28515625" customWidth="1"/>
    <col min="6658" max="6658" width="42.5703125" customWidth="1"/>
    <col min="6659" max="6659" width="14.28515625" customWidth="1"/>
    <col min="6660" max="6660" width="14" customWidth="1"/>
    <col min="6661" max="6661" width="12.7109375" customWidth="1"/>
    <col min="6662" max="6662" width="13.5703125" customWidth="1"/>
    <col min="6663" max="6663" width="11.5703125" customWidth="1"/>
    <col min="6664" max="6664" width="11.5703125" bestFit="1" customWidth="1"/>
    <col min="6665" max="6665" width="13.85546875" customWidth="1"/>
    <col min="6666" max="6666" width="12.28515625" customWidth="1"/>
    <col min="6667" max="6667" width="13.5703125" customWidth="1"/>
    <col min="6913" max="6913" width="13.28515625" customWidth="1"/>
    <col min="6914" max="6914" width="42.5703125" customWidth="1"/>
    <col min="6915" max="6915" width="14.28515625" customWidth="1"/>
    <col min="6916" max="6916" width="14" customWidth="1"/>
    <col min="6917" max="6917" width="12.7109375" customWidth="1"/>
    <col min="6918" max="6918" width="13.5703125" customWidth="1"/>
    <col min="6919" max="6919" width="11.5703125" customWidth="1"/>
    <col min="6920" max="6920" width="11.5703125" bestFit="1" customWidth="1"/>
    <col min="6921" max="6921" width="13.85546875" customWidth="1"/>
    <col min="6922" max="6922" width="12.28515625" customWidth="1"/>
    <col min="6923" max="6923" width="13.5703125" customWidth="1"/>
    <col min="7169" max="7169" width="13.28515625" customWidth="1"/>
    <col min="7170" max="7170" width="42.5703125" customWidth="1"/>
    <col min="7171" max="7171" width="14.28515625" customWidth="1"/>
    <col min="7172" max="7172" width="14" customWidth="1"/>
    <col min="7173" max="7173" width="12.7109375" customWidth="1"/>
    <col min="7174" max="7174" width="13.5703125" customWidth="1"/>
    <col min="7175" max="7175" width="11.5703125" customWidth="1"/>
    <col min="7176" max="7176" width="11.5703125" bestFit="1" customWidth="1"/>
    <col min="7177" max="7177" width="13.85546875" customWidth="1"/>
    <col min="7178" max="7178" width="12.28515625" customWidth="1"/>
    <col min="7179" max="7179" width="13.5703125" customWidth="1"/>
    <col min="7425" max="7425" width="13.28515625" customWidth="1"/>
    <col min="7426" max="7426" width="42.5703125" customWidth="1"/>
    <col min="7427" max="7427" width="14.28515625" customWidth="1"/>
    <col min="7428" max="7428" width="14" customWidth="1"/>
    <col min="7429" max="7429" width="12.7109375" customWidth="1"/>
    <col min="7430" max="7430" width="13.5703125" customWidth="1"/>
    <col min="7431" max="7431" width="11.5703125" customWidth="1"/>
    <col min="7432" max="7432" width="11.5703125" bestFit="1" customWidth="1"/>
    <col min="7433" max="7433" width="13.85546875" customWidth="1"/>
    <col min="7434" max="7434" width="12.28515625" customWidth="1"/>
    <col min="7435" max="7435" width="13.5703125" customWidth="1"/>
    <col min="7681" max="7681" width="13.28515625" customWidth="1"/>
    <col min="7682" max="7682" width="42.5703125" customWidth="1"/>
    <col min="7683" max="7683" width="14.28515625" customWidth="1"/>
    <col min="7684" max="7684" width="14" customWidth="1"/>
    <col min="7685" max="7685" width="12.7109375" customWidth="1"/>
    <col min="7686" max="7686" width="13.5703125" customWidth="1"/>
    <col min="7687" max="7687" width="11.5703125" customWidth="1"/>
    <col min="7688" max="7688" width="11.5703125" bestFit="1" customWidth="1"/>
    <col min="7689" max="7689" width="13.85546875" customWidth="1"/>
    <col min="7690" max="7690" width="12.28515625" customWidth="1"/>
    <col min="7691" max="7691" width="13.5703125" customWidth="1"/>
    <col min="7937" max="7937" width="13.28515625" customWidth="1"/>
    <col min="7938" max="7938" width="42.5703125" customWidth="1"/>
    <col min="7939" max="7939" width="14.28515625" customWidth="1"/>
    <col min="7940" max="7940" width="14" customWidth="1"/>
    <col min="7941" max="7941" width="12.7109375" customWidth="1"/>
    <col min="7942" max="7942" width="13.5703125" customWidth="1"/>
    <col min="7943" max="7943" width="11.5703125" customWidth="1"/>
    <col min="7944" max="7944" width="11.5703125" bestFit="1" customWidth="1"/>
    <col min="7945" max="7945" width="13.85546875" customWidth="1"/>
    <col min="7946" max="7946" width="12.28515625" customWidth="1"/>
    <col min="7947" max="7947" width="13.5703125" customWidth="1"/>
    <col min="8193" max="8193" width="13.28515625" customWidth="1"/>
    <col min="8194" max="8194" width="42.5703125" customWidth="1"/>
    <col min="8195" max="8195" width="14.28515625" customWidth="1"/>
    <col min="8196" max="8196" width="14" customWidth="1"/>
    <col min="8197" max="8197" width="12.7109375" customWidth="1"/>
    <col min="8198" max="8198" width="13.5703125" customWidth="1"/>
    <col min="8199" max="8199" width="11.5703125" customWidth="1"/>
    <col min="8200" max="8200" width="11.5703125" bestFit="1" customWidth="1"/>
    <col min="8201" max="8201" width="13.85546875" customWidth="1"/>
    <col min="8202" max="8202" width="12.28515625" customWidth="1"/>
    <col min="8203" max="8203" width="13.5703125" customWidth="1"/>
    <col min="8449" max="8449" width="13.28515625" customWidth="1"/>
    <col min="8450" max="8450" width="42.5703125" customWidth="1"/>
    <col min="8451" max="8451" width="14.28515625" customWidth="1"/>
    <col min="8452" max="8452" width="14" customWidth="1"/>
    <col min="8453" max="8453" width="12.7109375" customWidth="1"/>
    <col min="8454" max="8454" width="13.5703125" customWidth="1"/>
    <col min="8455" max="8455" width="11.5703125" customWidth="1"/>
    <col min="8456" max="8456" width="11.5703125" bestFit="1" customWidth="1"/>
    <col min="8457" max="8457" width="13.85546875" customWidth="1"/>
    <col min="8458" max="8458" width="12.28515625" customWidth="1"/>
    <col min="8459" max="8459" width="13.5703125" customWidth="1"/>
    <col min="8705" max="8705" width="13.28515625" customWidth="1"/>
    <col min="8706" max="8706" width="42.5703125" customWidth="1"/>
    <col min="8707" max="8707" width="14.28515625" customWidth="1"/>
    <col min="8708" max="8708" width="14" customWidth="1"/>
    <col min="8709" max="8709" width="12.7109375" customWidth="1"/>
    <col min="8710" max="8710" width="13.5703125" customWidth="1"/>
    <col min="8711" max="8711" width="11.5703125" customWidth="1"/>
    <col min="8712" max="8712" width="11.5703125" bestFit="1" customWidth="1"/>
    <col min="8713" max="8713" width="13.85546875" customWidth="1"/>
    <col min="8714" max="8714" width="12.28515625" customWidth="1"/>
    <col min="8715" max="8715" width="13.5703125" customWidth="1"/>
    <col min="8961" max="8961" width="13.28515625" customWidth="1"/>
    <col min="8962" max="8962" width="42.5703125" customWidth="1"/>
    <col min="8963" max="8963" width="14.28515625" customWidth="1"/>
    <col min="8964" max="8964" width="14" customWidth="1"/>
    <col min="8965" max="8965" width="12.7109375" customWidth="1"/>
    <col min="8966" max="8966" width="13.5703125" customWidth="1"/>
    <col min="8967" max="8967" width="11.5703125" customWidth="1"/>
    <col min="8968" max="8968" width="11.5703125" bestFit="1" customWidth="1"/>
    <col min="8969" max="8969" width="13.85546875" customWidth="1"/>
    <col min="8970" max="8970" width="12.28515625" customWidth="1"/>
    <col min="8971" max="8971" width="13.5703125" customWidth="1"/>
    <col min="9217" max="9217" width="13.28515625" customWidth="1"/>
    <col min="9218" max="9218" width="42.5703125" customWidth="1"/>
    <col min="9219" max="9219" width="14.28515625" customWidth="1"/>
    <col min="9220" max="9220" width="14" customWidth="1"/>
    <col min="9221" max="9221" width="12.7109375" customWidth="1"/>
    <col min="9222" max="9222" width="13.5703125" customWidth="1"/>
    <col min="9223" max="9223" width="11.5703125" customWidth="1"/>
    <col min="9224" max="9224" width="11.5703125" bestFit="1" customWidth="1"/>
    <col min="9225" max="9225" width="13.85546875" customWidth="1"/>
    <col min="9226" max="9226" width="12.28515625" customWidth="1"/>
    <col min="9227" max="9227" width="13.5703125" customWidth="1"/>
    <col min="9473" max="9473" width="13.28515625" customWidth="1"/>
    <col min="9474" max="9474" width="42.5703125" customWidth="1"/>
    <col min="9475" max="9475" width="14.28515625" customWidth="1"/>
    <col min="9476" max="9476" width="14" customWidth="1"/>
    <col min="9477" max="9477" width="12.7109375" customWidth="1"/>
    <col min="9478" max="9478" width="13.5703125" customWidth="1"/>
    <col min="9479" max="9479" width="11.5703125" customWidth="1"/>
    <col min="9480" max="9480" width="11.5703125" bestFit="1" customWidth="1"/>
    <col min="9481" max="9481" width="13.85546875" customWidth="1"/>
    <col min="9482" max="9482" width="12.28515625" customWidth="1"/>
    <col min="9483" max="9483" width="13.5703125" customWidth="1"/>
    <col min="9729" max="9729" width="13.28515625" customWidth="1"/>
    <col min="9730" max="9730" width="42.5703125" customWidth="1"/>
    <col min="9731" max="9731" width="14.28515625" customWidth="1"/>
    <col min="9732" max="9732" width="14" customWidth="1"/>
    <col min="9733" max="9733" width="12.7109375" customWidth="1"/>
    <col min="9734" max="9734" width="13.5703125" customWidth="1"/>
    <col min="9735" max="9735" width="11.5703125" customWidth="1"/>
    <col min="9736" max="9736" width="11.5703125" bestFit="1" customWidth="1"/>
    <col min="9737" max="9737" width="13.85546875" customWidth="1"/>
    <col min="9738" max="9738" width="12.28515625" customWidth="1"/>
    <col min="9739" max="9739" width="13.5703125" customWidth="1"/>
    <col min="9985" max="9985" width="13.28515625" customWidth="1"/>
    <col min="9986" max="9986" width="42.5703125" customWidth="1"/>
    <col min="9987" max="9987" width="14.28515625" customWidth="1"/>
    <col min="9988" max="9988" width="14" customWidth="1"/>
    <col min="9989" max="9989" width="12.7109375" customWidth="1"/>
    <col min="9990" max="9990" width="13.5703125" customWidth="1"/>
    <col min="9991" max="9991" width="11.5703125" customWidth="1"/>
    <col min="9992" max="9992" width="11.5703125" bestFit="1" customWidth="1"/>
    <col min="9993" max="9993" width="13.85546875" customWidth="1"/>
    <col min="9994" max="9994" width="12.28515625" customWidth="1"/>
    <col min="9995" max="9995" width="13.5703125" customWidth="1"/>
    <col min="10241" max="10241" width="13.28515625" customWidth="1"/>
    <col min="10242" max="10242" width="42.5703125" customWidth="1"/>
    <col min="10243" max="10243" width="14.28515625" customWidth="1"/>
    <col min="10244" max="10244" width="14" customWidth="1"/>
    <col min="10245" max="10245" width="12.7109375" customWidth="1"/>
    <col min="10246" max="10246" width="13.5703125" customWidth="1"/>
    <col min="10247" max="10247" width="11.5703125" customWidth="1"/>
    <col min="10248" max="10248" width="11.5703125" bestFit="1" customWidth="1"/>
    <col min="10249" max="10249" width="13.85546875" customWidth="1"/>
    <col min="10250" max="10250" width="12.28515625" customWidth="1"/>
    <col min="10251" max="10251" width="13.5703125" customWidth="1"/>
    <col min="10497" max="10497" width="13.28515625" customWidth="1"/>
    <col min="10498" max="10498" width="42.5703125" customWidth="1"/>
    <col min="10499" max="10499" width="14.28515625" customWidth="1"/>
    <col min="10500" max="10500" width="14" customWidth="1"/>
    <col min="10501" max="10501" width="12.7109375" customWidth="1"/>
    <col min="10502" max="10502" width="13.5703125" customWidth="1"/>
    <col min="10503" max="10503" width="11.5703125" customWidth="1"/>
    <col min="10504" max="10504" width="11.5703125" bestFit="1" customWidth="1"/>
    <col min="10505" max="10505" width="13.85546875" customWidth="1"/>
    <col min="10506" max="10506" width="12.28515625" customWidth="1"/>
    <col min="10507" max="10507" width="13.5703125" customWidth="1"/>
    <col min="10753" max="10753" width="13.28515625" customWidth="1"/>
    <col min="10754" max="10754" width="42.5703125" customWidth="1"/>
    <col min="10755" max="10755" width="14.28515625" customWidth="1"/>
    <col min="10756" max="10756" width="14" customWidth="1"/>
    <col min="10757" max="10757" width="12.7109375" customWidth="1"/>
    <col min="10758" max="10758" width="13.5703125" customWidth="1"/>
    <col min="10759" max="10759" width="11.5703125" customWidth="1"/>
    <col min="10760" max="10760" width="11.5703125" bestFit="1" customWidth="1"/>
    <col min="10761" max="10761" width="13.85546875" customWidth="1"/>
    <col min="10762" max="10762" width="12.28515625" customWidth="1"/>
    <col min="10763" max="10763" width="13.5703125" customWidth="1"/>
    <col min="11009" max="11009" width="13.28515625" customWidth="1"/>
    <col min="11010" max="11010" width="42.5703125" customWidth="1"/>
    <col min="11011" max="11011" width="14.28515625" customWidth="1"/>
    <col min="11012" max="11012" width="14" customWidth="1"/>
    <col min="11013" max="11013" width="12.7109375" customWidth="1"/>
    <col min="11014" max="11014" width="13.5703125" customWidth="1"/>
    <col min="11015" max="11015" width="11.5703125" customWidth="1"/>
    <col min="11016" max="11016" width="11.5703125" bestFit="1" customWidth="1"/>
    <col min="11017" max="11017" width="13.85546875" customWidth="1"/>
    <col min="11018" max="11018" width="12.28515625" customWidth="1"/>
    <col min="11019" max="11019" width="13.5703125" customWidth="1"/>
    <col min="11265" max="11265" width="13.28515625" customWidth="1"/>
    <col min="11266" max="11266" width="42.5703125" customWidth="1"/>
    <col min="11267" max="11267" width="14.28515625" customWidth="1"/>
    <col min="11268" max="11268" width="14" customWidth="1"/>
    <col min="11269" max="11269" width="12.7109375" customWidth="1"/>
    <col min="11270" max="11270" width="13.5703125" customWidth="1"/>
    <col min="11271" max="11271" width="11.5703125" customWidth="1"/>
    <col min="11272" max="11272" width="11.5703125" bestFit="1" customWidth="1"/>
    <col min="11273" max="11273" width="13.85546875" customWidth="1"/>
    <col min="11274" max="11274" width="12.28515625" customWidth="1"/>
    <col min="11275" max="11275" width="13.5703125" customWidth="1"/>
    <col min="11521" max="11521" width="13.28515625" customWidth="1"/>
    <col min="11522" max="11522" width="42.5703125" customWidth="1"/>
    <col min="11523" max="11523" width="14.28515625" customWidth="1"/>
    <col min="11524" max="11524" width="14" customWidth="1"/>
    <col min="11525" max="11525" width="12.7109375" customWidth="1"/>
    <col min="11526" max="11526" width="13.5703125" customWidth="1"/>
    <col min="11527" max="11527" width="11.5703125" customWidth="1"/>
    <col min="11528" max="11528" width="11.5703125" bestFit="1" customWidth="1"/>
    <col min="11529" max="11529" width="13.85546875" customWidth="1"/>
    <col min="11530" max="11530" width="12.28515625" customWidth="1"/>
    <col min="11531" max="11531" width="13.5703125" customWidth="1"/>
    <col min="11777" max="11777" width="13.28515625" customWidth="1"/>
    <col min="11778" max="11778" width="42.5703125" customWidth="1"/>
    <col min="11779" max="11779" width="14.28515625" customWidth="1"/>
    <col min="11780" max="11780" width="14" customWidth="1"/>
    <col min="11781" max="11781" width="12.7109375" customWidth="1"/>
    <col min="11782" max="11782" width="13.5703125" customWidth="1"/>
    <col min="11783" max="11783" width="11.5703125" customWidth="1"/>
    <col min="11784" max="11784" width="11.5703125" bestFit="1" customWidth="1"/>
    <col min="11785" max="11785" width="13.85546875" customWidth="1"/>
    <col min="11786" max="11786" width="12.28515625" customWidth="1"/>
    <col min="11787" max="11787" width="13.5703125" customWidth="1"/>
    <col min="12033" max="12033" width="13.28515625" customWidth="1"/>
    <col min="12034" max="12034" width="42.5703125" customWidth="1"/>
    <col min="12035" max="12035" width="14.28515625" customWidth="1"/>
    <col min="12036" max="12036" width="14" customWidth="1"/>
    <col min="12037" max="12037" width="12.7109375" customWidth="1"/>
    <col min="12038" max="12038" width="13.5703125" customWidth="1"/>
    <col min="12039" max="12039" width="11.5703125" customWidth="1"/>
    <col min="12040" max="12040" width="11.5703125" bestFit="1" customWidth="1"/>
    <col min="12041" max="12041" width="13.85546875" customWidth="1"/>
    <col min="12042" max="12042" width="12.28515625" customWidth="1"/>
    <col min="12043" max="12043" width="13.5703125" customWidth="1"/>
    <col min="12289" max="12289" width="13.28515625" customWidth="1"/>
    <col min="12290" max="12290" width="42.5703125" customWidth="1"/>
    <col min="12291" max="12291" width="14.28515625" customWidth="1"/>
    <col min="12292" max="12292" width="14" customWidth="1"/>
    <col min="12293" max="12293" width="12.7109375" customWidth="1"/>
    <col min="12294" max="12294" width="13.5703125" customWidth="1"/>
    <col min="12295" max="12295" width="11.5703125" customWidth="1"/>
    <col min="12296" max="12296" width="11.5703125" bestFit="1" customWidth="1"/>
    <col min="12297" max="12297" width="13.85546875" customWidth="1"/>
    <col min="12298" max="12298" width="12.28515625" customWidth="1"/>
    <col min="12299" max="12299" width="13.5703125" customWidth="1"/>
    <col min="12545" max="12545" width="13.28515625" customWidth="1"/>
    <col min="12546" max="12546" width="42.5703125" customWidth="1"/>
    <col min="12547" max="12547" width="14.28515625" customWidth="1"/>
    <col min="12548" max="12548" width="14" customWidth="1"/>
    <col min="12549" max="12549" width="12.7109375" customWidth="1"/>
    <col min="12550" max="12550" width="13.5703125" customWidth="1"/>
    <col min="12551" max="12551" width="11.5703125" customWidth="1"/>
    <col min="12552" max="12552" width="11.5703125" bestFit="1" customWidth="1"/>
    <col min="12553" max="12553" width="13.85546875" customWidth="1"/>
    <col min="12554" max="12554" width="12.28515625" customWidth="1"/>
    <col min="12555" max="12555" width="13.5703125" customWidth="1"/>
    <col min="12801" max="12801" width="13.28515625" customWidth="1"/>
    <col min="12802" max="12802" width="42.5703125" customWidth="1"/>
    <col min="12803" max="12803" width="14.28515625" customWidth="1"/>
    <col min="12804" max="12804" width="14" customWidth="1"/>
    <col min="12805" max="12805" width="12.7109375" customWidth="1"/>
    <col min="12806" max="12806" width="13.5703125" customWidth="1"/>
    <col min="12807" max="12807" width="11.5703125" customWidth="1"/>
    <col min="12808" max="12808" width="11.5703125" bestFit="1" customWidth="1"/>
    <col min="12809" max="12809" width="13.85546875" customWidth="1"/>
    <col min="12810" max="12810" width="12.28515625" customWidth="1"/>
    <col min="12811" max="12811" width="13.5703125" customWidth="1"/>
    <col min="13057" max="13057" width="13.28515625" customWidth="1"/>
    <col min="13058" max="13058" width="42.5703125" customWidth="1"/>
    <col min="13059" max="13059" width="14.28515625" customWidth="1"/>
    <col min="13060" max="13060" width="14" customWidth="1"/>
    <col min="13061" max="13061" width="12.7109375" customWidth="1"/>
    <col min="13062" max="13062" width="13.5703125" customWidth="1"/>
    <col min="13063" max="13063" width="11.5703125" customWidth="1"/>
    <col min="13064" max="13064" width="11.5703125" bestFit="1" customWidth="1"/>
    <col min="13065" max="13065" width="13.85546875" customWidth="1"/>
    <col min="13066" max="13066" width="12.28515625" customWidth="1"/>
    <col min="13067" max="13067" width="13.5703125" customWidth="1"/>
    <col min="13313" max="13313" width="13.28515625" customWidth="1"/>
    <col min="13314" max="13314" width="42.5703125" customWidth="1"/>
    <col min="13315" max="13315" width="14.28515625" customWidth="1"/>
    <col min="13316" max="13316" width="14" customWidth="1"/>
    <col min="13317" max="13317" width="12.7109375" customWidth="1"/>
    <col min="13318" max="13318" width="13.5703125" customWidth="1"/>
    <col min="13319" max="13319" width="11.5703125" customWidth="1"/>
    <col min="13320" max="13320" width="11.5703125" bestFit="1" customWidth="1"/>
    <col min="13321" max="13321" width="13.85546875" customWidth="1"/>
    <col min="13322" max="13322" width="12.28515625" customWidth="1"/>
    <col min="13323" max="13323" width="13.5703125" customWidth="1"/>
    <col min="13569" max="13569" width="13.28515625" customWidth="1"/>
    <col min="13570" max="13570" width="42.5703125" customWidth="1"/>
    <col min="13571" max="13571" width="14.28515625" customWidth="1"/>
    <col min="13572" max="13572" width="14" customWidth="1"/>
    <col min="13573" max="13573" width="12.7109375" customWidth="1"/>
    <col min="13574" max="13574" width="13.5703125" customWidth="1"/>
    <col min="13575" max="13575" width="11.5703125" customWidth="1"/>
    <col min="13576" max="13576" width="11.5703125" bestFit="1" customWidth="1"/>
    <col min="13577" max="13577" width="13.85546875" customWidth="1"/>
    <col min="13578" max="13578" width="12.28515625" customWidth="1"/>
    <col min="13579" max="13579" width="13.5703125" customWidth="1"/>
    <col min="13825" max="13825" width="13.28515625" customWidth="1"/>
    <col min="13826" max="13826" width="42.5703125" customWidth="1"/>
    <col min="13827" max="13827" width="14.28515625" customWidth="1"/>
    <col min="13828" max="13828" width="14" customWidth="1"/>
    <col min="13829" max="13829" width="12.7109375" customWidth="1"/>
    <col min="13830" max="13830" width="13.5703125" customWidth="1"/>
    <col min="13831" max="13831" width="11.5703125" customWidth="1"/>
    <col min="13832" max="13832" width="11.5703125" bestFit="1" customWidth="1"/>
    <col min="13833" max="13833" width="13.85546875" customWidth="1"/>
    <col min="13834" max="13834" width="12.28515625" customWidth="1"/>
    <col min="13835" max="13835" width="13.5703125" customWidth="1"/>
    <col min="14081" max="14081" width="13.28515625" customWidth="1"/>
    <col min="14082" max="14082" width="42.5703125" customWidth="1"/>
    <col min="14083" max="14083" width="14.28515625" customWidth="1"/>
    <col min="14084" max="14084" width="14" customWidth="1"/>
    <col min="14085" max="14085" width="12.7109375" customWidth="1"/>
    <col min="14086" max="14086" width="13.5703125" customWidth="1"/>
    <col min="14087" max="14087" width="11.5703125" customWidth="1"/>
    <col min="14088" max="14088" width="11.5703125" bestFit="1" customWidth="1"/>
    <col min="14089" max="14089" width="13.85546875" customWidth="1"/>
    <col min="14090" max="14090" width="12.28515625" customWidth="1"/>
    <col min="14091" max="14091" width="13.5703125" customWidth="1"/>
    <col min="14337" max="14337" width="13.28515625" customWidth="1"/>
    <col min="14338" max="14338" width="42.5703125" customWidth="1"/>
    <col min="14339" max="14339" width="14.28515625" customWidth="1"/>
    <col min="14340" max="14340" width="14" customWidth="1"/>
    <col min="14341" max="14341" width="12.7109375" customWidth="1"/>
    <col min="14342" max="14342" width="13.5703125" customWidth="1"/>
    <col min="14343" max="14343" width="11.5703125" customWidth="1"/>
    <col min="14344" max="14344" width="11.5703125" bestFit="1" customWidth="1"/>
    <col min="14345" max="14345" width="13.85546875" customWidth="1"/>
    <col min="14346" max="14346" width="12.28515625" customWidth="1"/>
    <col min="14347" max="14347" width="13.5703125" customWidth="1"/>
    <col min="14593" max="14593" width="13.28515625" customWidth="1"/>
    <col min="14594" max="14594" width="42.5703125" customWidth="1"/>
    <col min="14595" max="14595" width="14.28515625" customWidth="1"/>
    <col min="14596" max="14596" width="14" customWidth="1"/>
    <col min="14597" max="14597" width="12.7109375" customWidth="1"/>
    <col min="14598" max="14598" width="13.5703125" customWidth="1"/>
    <col min="14599" max="14599" width="11.5703125" customWidth="1"/>
    <col min="14600" max="14600" width="11.5703125" bestFit="1" customWidth="1"/>
    <col min="14601" max="14601" width="13.85546875" customWidth="1"/>
    <col min="14602" max="14602" width="12.28515625" customWidth="1"/>
    <col min="14603" max="14603" width="13.5703125" customWidth="1"/>
    <col min="14849" max="14849" width="13.28515625" customWidth="1"/>
    <col min="14850" max="14850" width="42.5703125" customWidth="1"/>
    <col min="14851" max="14851" width="14.28515625" customWidth="1"/>
    <col min="14852" max="14852" width="14" customWidth="1"/>
    <col min="14853" max="14853" width="12.7109375" customWidth="1"/>
    <col min="14854" max="14854" width="13.5703125" customWidth="1"/>
    <col min="14855" max="14855" width="11.5703125" customWidth="1"/>
    <col min="14856" max="14856" width="11.5703125" bestFit="1" customWidth="1"/>
    <col min="14857" max="14857" width="13.85546875" customWidth="1"/>
    <col min="14858" max="14858" width="12.28515625" customWidth="1"/>
    <col min="14859" max="14859" width="13.5703125" customWidth="1"/>
    <col min="15105" max="15105" width="13.28515625" customWidth="1"/>
    <col min="15106" max="15106" width="42.5703125" customWidth="1"/>
    <col min="15107" max="15107" width="14.28515625" customWidth="1"/>
    <col min="15108" max="15108" width="14" customWidth="1"/>
    <col min="15109" max="15109" width="12.7109375" customWidth="1"/>
    <col min="15110" max="15110" width="13.5703125" customWidth="1"/>
    <col min="15111" max="15111" width="11.5703125" customWidth="1"/>
    <col min="15112" max="15112" width="11.5703125" bestFit="1" customWidth="1"/>
    <col min="15113" max="15113" width="13.85546875" customWidth="1"/>
    <col min="15114" max="15114" width="12.28515625" customWidth="1"/>
    <col min="15115" max="15115" width="13.5703125" customWidth="1"/>
    <col min="15361" max="15361" width="13.28515625" customWidth="1"/>
    <col min="15362" max="15362" width="42.5703125" customWidth="1"/>
    <col min="15363" max="15363" width="14.28515625" customWidth="1"/>
    <col min="15364" max="15364" width="14" customWidth="1"/>
    <col min="15365" max="15365" width="12.7109375" customWidth="1"/>
    <col min="15366" max="15366" width="13.5703125" customWidth="1"/>
    <col min="15367" max="15367" width="11.5703125" customWidth="1"/>
    <col min="15368" max="15368" width="11.5703125" bestFit="1" customWidth="1"/>
    <col min="15369" max="15369" width="13.85546875" customWidth="1"/>
    <col min="15370" max="15370" width="12.28515625" customWidth="1"/>
    <col min="15371" max="15371" width="13.5703125" customWidth="1"/>
    <col min="15617" max="15617" width="13.28515625" customWidth="1"/>
    <col min="15618" max="15618" width="42.5703125" customWidth="1"/>
    <col min="15619" max="15619" width="14.28515625" customWidth="1"/>
    <col min="15620" max="15620" width="14" customWidth="1"/>
    <col min="15621" max="15621" width="12.7109375" customWidth="1"/>
    <col min="15622" max="15622" width="13.5703125" customWidth="1"/>
    <col min="15623" max="15623" width="11.5703125" customWidth="1"/>
    <col min="15624" max="15624" width="11.5703125" bestFit="1" customWidth="1"/>
    <col min="15625" max="15625" width="13.85546875" customWidth="1"/>
    <col min="15626" max="15626" width="12.28515625" customWidth="1"/>
    <col min="15627" max="15627" width="13.5703125" customWidth="1"/>
    <col min="15873" max="15873" width="13.28515625" customWidth="1"/>
    <col min="15874" max="15874" width="42.5703125" customWidth="1"/>
    <col min="15875" max="15875" width="14.28515625" customWidth="1"/>
    <col min="15876" max="15876" width="14" customWidth="1"/>
    <col min="15877" max="15877" width="12.7109375" customWidth="1"/>
    <col min="15878" max="15878" width="13.5703125" customWidth="1"/>
    <col min="15879" max="15879" width="11.5703125" customWidth="1"/>
    <col min="15880" max="15880" width="11.5703125" bestFit="1" customWidth="1"/>
    <col min="15881" max="15881" width="13.85546875" customWidth="1"/>
    <col min="15882" max="15882" width="12.28515625" customWidth="1"/>
    <col min="15883" max="15883" width="13.5703125" customWidth="1"/>
    <col min="16129" max="16129" width="13.28515625" customWidth="1"/>
    <col min="16130" max="16130" width="42.5703125" customWidth="1"/>
    <col min="16131" max="16131" width="14.28515625" customWidth="1"/>
    <col min="16132" max="16132" width="14" customWidth="1"/>
    <col min="16133" max="16133" width="12.7109375" customWidth="1"/>
    <col min="16134" max="16134" width="13.5703125" customWidth="1"/>
    <col min="16135" max="16135" width="11.5703125" customWidth="1"/>
    <col min="16136" max="16136" width="11.5703125" bestFit="1" customWidth="1"/>
    <col min="16137" max="16137" width="13.85546875" customWidth="1"/>
    <col min="16138" max="16138" width="12.28515625" customWidth="1"/>
    <col min="16139" max="16139" width="13.5703125" customWidth="1"/>
  </cols>
  <sheetData>
    <row r="1" spans="1:14" ht="13.5">
      <c r="A1" s="130"/>
      <c r="B1" s="130"/>
      <c r="C1" s="331"/>
      <c r="D1" s="331"/>
      <c r="E1" s="331"/>
      <c r="F1" s="131" t="s">
        <v>617</v>
      </c>
      <c r="G1" s="131"/>
      <c r="H1" s="332"/>
    </row>
    <row r="2" spans="1:14">
      <c r="A2" s="130"/>
      <c r="B2" s="130"/>
      <c r="C2" s="436"/>
      <c r="D2" s="488" t="s">
        <v>695</v>
      </c>
      <c r="E2" s="488"/>
      <c r="F2" s="488"/>
      <c r="G2" s="333"/>
    </row>
    <row r="3" spans="1:14">
      <c r="A3" s="130"/>
      <c r="B3" s="130"/>
      <c r="C3" s="436"/>
      <c r="D3" s="488" t="s">
        <v>694</v>
      </c>
      <c r="E3" s="488"/>
      <c r="F3" s="488"/>
      <c r="G3" s="333"/>
    </row>
    <row r="4" spans="1:14">
      <c r="A4" s="130"/>
      <c r="B4" s="130"/>
      <c r="C4" s="436"/>
      <c r="D4" s="489" t="s">
        <v>693</v>
      </c>
      <c r="E4" s="489"/>
      <c r="F4" s="489"/>
      <c r="G4" s="333"/>
    </row>
    <row r="5" spans="1:14">
      <c r="A5" s="130"/>
      <c r="B5" s="130"/>
      <c r="C5" s="436"/>
      <c r="D5" s="488" t="s">
        <v>752</v>
      </c>
      <c r="E5" s="488"/>
      <c r="F5" s="488"/>
      <c r="G5" s="130"/>
    </row>
    <row r="6" spans="1:14">
      <c r="A6" s="334"/>
      <c r="B6" s="335"/>
      <c r="C6" s="494"/>
      <c r="D6" s="494"/>
      <c r="E6" s="494"/>
      <c r="F6" s="494"/>
      <c r="G6" s="130"/>
    </row>
    <row r="7" spans="1:14">
      <c r="A7" s="130"/>
      <c r="B7" s="335"/>
      <c r="C7" s="335"/>
      <c r="D7" s="131"/>
      <c r="E7" s="131"/>
      <c r="F7" s="131"/>
      <c r="G7" s="130"/>
    </row>
    <row r="8" spans="1:14" ht="15.75">
      <c r="A8" s="336"/>
      <c r="B8" s="495" t="s">
        <v>618</v>
      </c>
      <c r="C8" s="495"/>
      <c r="D8" s="495"/>
      <c r="E8" s="495"/>
      <c r="F8" s="495"/>
      <c r="G8" s="495"/>
    </row>
    <row r="9" spans="1:14" ht="15.75">
      <c r="A9" s="496" t="s">
        <v>638</v>
      </c>
      <c r="B9" s="496"/>
      <c r="C9" s="496"/>
      <c r="D9" s="496"/>
      <c r="E9" s="496"/>
      <c r="F9" s="496"/>
      <c r="G9" s="336"/>
    </row>
    <row r="10" spans="1:14" ht="14.25">
      <c r="A10" s="337">
        <v>23564000000</v>
      </c>
      <c r="B10" s="338"/>
      <c r="C10" s="338"/>
      <c r="D10" s="338"/>
      <c r="E10" s="338"/>
      <c r="F10" s="338"/>
      <c r="G10" s="130"/>
    </row>
    <row r="11" spans="1:14" ht="14.25">
      <c r="A11" s="339" t="s">
        <v>525</v>
      </c>
      <c r="B11" s="338"/>
      <c r="C11" s="338"/>
      <c r="D11" s="338"/>
      <c r="E11" s="338"/>
      <c r="F11" s="338"/>
      <c r="G11" s="130"/>
    </row>
    <row r="12" spans="1:14">
      <c r="A12" s="132"/>
      <c r="B12" s="132"/>
      <c r="C12" s="132"/>
      <c r="D12" s="132"/>
      <c r="E12" s="132"/>
      <c r="F12" s="132" t="s">
        <v>29</v>
      </c>
      <c r="G12" s="132"/>
    </row>
    <row r="13" spans="1:14" s="16" customFormat="1">
      <c r="A13" s="497" t="s">
        <v>546</v>
      </c>
      <c r="B13" s="497" t="s">
        <v>619</v>
      </c>
      <c r="C13" s="498" t="s">
        <v>550</v>
      </c>
      <c r="D13" s="497" t="s">
        <v>547</v>
      </c>
      <c r="E13" s="497" t="s">
        <v>548</v>
      </c>
      <c r="F13" s="497"/>
      <c r="G13" s="133"/>
    </row>
    <row r="14" spans="1:14" ht="25.5">
      <c r="A14" s="497"/>
      <c r="B14" s="497"/>
      <c r="C14" s="498"/>
      <c r="D14" s="497"/>
      <c r="E14" s="340" t="s">
        <v>550</v>
      </c>
      <c r="F14" s="340" t="s">
        <v>620</v>
      </c>
      <c r="G14" s="134"/>
      <c r="H14" s="82"/>
      <c r="I14" s="83"/>
      <c r="J14" s="82"/>
      <c r="K14" s="82"/>
      <c r="L14" s="82"/>
    </row>
    <row r="15" spans="1:14">
      <c r="A15" s="340">
        <v>1</v>
      </c>
      <c r="B15" s="340">
        <v>2</v>
      </c>
      <c r="C15" s="341">
        <v>3</v>
      </c>
      <c r="D15" s="340">
        <v>4</v>
      </c>
      <c r="E15" s="340">
        <v>5</v>
      </c>
      <c r="F15" s="340">
        <v>6</v>
      </c>
      <c r="G15" s="134"/>
      <c r="H15" s="82"/>
      <c r="I15" s="83"/>
      <c r="J15" s="82"/>
      <c r="K15" s="82"/>
      <c r="L15" s="82"/>
    </row>
    <row r="16" spans="1:14">
      <c r="A16" s="490" t="s">
        <v>621</v>
      </c>
      <c r="B16" s="490"/>
      <c r="C16" s="490"/>
      <c r="D16" s="490"/>
      <c r="E16" s="490"/>
      <c r="F16" s="490"/>
      <c r="G16" s="134"/>
      <c r="H16" s="82"/>
      <c r="I16" s="82"/>
      <c r="J16" s="82"/>
      <c r="K16" s="82"/>
      <c r="L16" s="82"/>
      <c r="M16" s="273"/>
      <c r="N16" s="273"/>
    </row>
    <row r="17" spans="1:14" s="345" customFormat="1" ht="15.75">
      <c r="A17" s="342">
        <v>200000</v>
      </c>
      <c r="B17" s="342" t="s">
        <v>622</v>
      </c>
      <c r="C17" s="343">
        <f t="shared" ref="C17:C25" si="0">D17+E17</f>
        <v>54941858</v>
      </c>
      <c r="D17" s="343">
        <f>D21</f>
        <v>24213852</v>
      </c>
      <c r="E17" s="343">
        <f>E21</f>
        <v>30728006</v>
      </c>
      <c r="F17" s="343">
        <f>F21</f>
        <v>30453896</v>
      </c>
      <c r="G17" s="344"/>
      <c r="H17" s="226"/>
      <c r="I17" s="438"/>
      <c r="J17" s="438"/>
      <c r="K17" s="438"/>
      <c r="L17" s="438"/>
      <c r="M17" s="350"/>
      <c r="N17" s="350"/>
    </row>
    <row r="18" spans="1:14" s="345" customFormat="1" ht="53.25" hidden="1" customHeight="1">
      <c r="A18" s="346">
        <v>206000</v>
      </c>
      <c r="B18" s="347" t="s">
        <v>623</v>
      </c>
      <c r="C18" s="348">
        <f t="shared" si="0"/>
        <v>0</v>
      </c>
      <c r="D18" s="348">
        <v>0</v>
      </c>
      <c r="E18" s="348">
        <v>0</v>
      </c>
      <c r="F18" s="348">
        <v>0</v>
      </c>
      <c r="G18" s="349"/>
      <c r="H18" s="350"/>
      <c r="I18" s="350"/>
      <c r="J18" s="350"/>
      <c r="K18" s="350"/>
      <c r="L18" s="350"/>
      <c r="M18" s="350"/>
      <c r="N18" s="350"/>
    </row>
    <row r="19" spans="1:14" s="345" customFormat="1" ht="22.5" hidden="1" customHeight="1">
      <c r="A19" s="351" t="s">
        <v>624</v>
      </c>
      <c r="B19" s="347" t="s">
        <v>625</v>
      </c>
      <c r="C19" s="348">
        <f t="shared" si="0"/>
        <v>0</v>
      </c>
      <c r="D19" s="348"/>
      <c r="E19" s="348"/>
      <c r="F19" s="348"/>
      <c r="G19" s="349"/>
      <c r="H19" s="352"/>
      <c r="I19" s="350"/>
      <c r="J19" s="350"/>
      <c r="K19" s="350"/>
      <c r="L19" s="350"/>
      <c r="M19" s="350"/>
      <c r="N19" s="350"/>
    </row>
    <row r="20" spans="1:14" s="345" customFormat="1" ht="31.5" hidden="1">
      <c r="A20" s="351" t="s">
        <v>626</v>
      </c>
      <c r="B20" s="347" t="s">
        <v>627</v>
      </c>
      <c r="C20" s="348">
        <f t="shared" si="0"/>
        <v>0</v>
      </c>
      <c r="D20" s="348"/>
      <c r="E20" s="348"/>
      <c r="F20" s="348"/>
      <c r="G20" s="349"/>
      <c r="H20" s="350"/>
      <c r="I20" s="350"/>
      <c r="J20" s="350"/>
      <c r="K20" s="350"/>
      <c r="L20" s="350"/>
      <c r="M20" s="350"/>
      <c r="N20" s="350"/>
    </row>
    <row r="21" spans="1:14" ht="31.5">
      <c r="A21" s="346">
        <v>208000</v>
      </c>
      <c r="B21" s="347" t="s">
        <v>628</v>
      </c>
      <c r="C21" s="348">
        <f t="shared" si="0"/>
        <v>54941858</v>
      </c>
      <c r="D21" s="348">
        <f>D22-D23+D24</f>
        <v>24213852</v>
      </c>
      <c r="E21" s="348">
        <f>E22-E23+E24</f>
        <v>30728006</v>
      </c>
      <c r="F21" s="348">
        <f>F22-F23+F24</f>
        <v>30453896</v>
      </c>
      <c r="G21" s="135"/>
      <c r="H21" s="273"/>
      <c r="I21" s="273"/>
      <c r="J21" s="273"/>
      <c r="K21" s="273"/>
      <c r="L21" s="273"/>
      <c r="M21" s="273"/>
      <c r="N21" s="273"/>
    </row>
    <row r="22" spans="1:14" ht="15.75">
      <c r="A22" s="346">
        <v>208100</v>
      </c>
      <c r="B22" s="347" t="s">
        <v>629</v>
      </c>
      <c r="C22" s="348">
        <f t="shared" si="0"/>
        <v>60780410.599999994</v>
      </c>
      <c r="D22" s="353">
        <v>52931859.729999997</v>
      </c>
      <c r="E22" s="353">
        <v>7848550.8700000001</v>
      </c>
      <c r="F22" s="354">
        <v>7484307.4400000004</v>
      </c>
      <c r="G22" s="135"/>
      <c r="H22" s="273"/>
      <c r="I22" s="355"/>
      <c r="J22" s="355"/>
      <c r="K22" s="273"/>
      <c r="L22" s="273"/>
      <c r="M22" s="273"/>
      <c r="N22" s="273"/>
    </row>
    <row r="23" spans="1:14" ht="15.75">
      <c r="A23" s="346">
        <v>208200</v>
      </c>
      <c r="B23" s="347" t="s">
        <v>630</v>
      </c>
      <c r="C23" s="348">
        <f t="shared" si="0"/>
        <v>5838552.5999999968</v>
      </c>
      <c r="D23" s="353">
        <f>52931859.73-24646784-6672398-3631730-2067843-1773949-4296248-2000000-2094489</f>
        <v>5748418.7299999967</v>
      </c>
      <c r="E23" s="353">
        <f>7848550.87-7758417</f>
        <v>90133.870000000112</v>
      </c>
      <c r="F23" s="354">
        <f>7484307.44-7484307</f>
        <v>0.44000000040978193</v>
      </c>
      <c r="G23" s="135"/>
      <c r="H23" s="355"/>
      <c r="I23" s="355"/>
      <c r="J23" s="273"/>
      <c r="K23" s="273"/>
      <c r="L23" s="273"/>
      <c r="M23" s="273"/>
      <c r="N23" s="273"/>
    </row>
    <row r="24" spans="1:14" ht="47.25">
      <c r="A24" s="346">
        <v>208400</v>
      </c>
      <c r="B24" s="347" t="s">
        <v>631</v>
      </c>
      <c r="C24" s="348">
        <f t="shared" si="0"/>
        <v>0</v>
      </c>
      <c r="D24" s="353">
        <f>-150000-6909398-538501-1773949-7166945-1591000-192360-473097-4174339</f>
        <v>-22969589</v>
      </c>
      <c r="E24" s="353">
        <f>150000+6909398+538501+1773949+7166945+1591000+192360+473097+4174339</f>
        <v>22969589</v>
      </c>
      <c r="F24" s="353">
        <f>150000+6909398+538501+1773949+7166945+1591000+192360+473097+4174339</f>
        <v>22969589</v>
      </c>
      <c r="G24" s="130"/>
      <c r="H24" s="227"/>
      <c r="I24" s="439"/>
      <c r="J24" s="439"/>
      <c r="K24" s="439"/>
      <c r="L24" s="439"/>
      <c r="M24" s="273"/>
      <c r="N24" s="273"/>
    </row>
    <row r="25" spans="1:14" ht="15.75">
      <c r="A25" s="356" t="s">
        <v>556</v>
      </c>
      <c r="B25" s="342" t="s">
        <v>632</v>
      </c>
      <c r="C25" s="343">
        <f t="shared" si="0"/>
        <v>54941858</v>
      </c>
      <c r="D25" s="343">
        <f>D17</f>
        <v>24213852</v>
      </c>
      <c r="E25" s="343">
        <f>E17</f>
        <v>30728006</v>
      </c>
      <c r="F25" s="343">
        <f>F17</f>
        <v>30453896</v>
      </c>
      <c r="G25" s="132"/>
      <c r="H25" s="273"/>
      <c r="I25" s="273"/>
      <c r="J25" s="273"/>
      <c r="K25" s="273"/>
      <c r="L25" s="273"/>
      <c r="M25" s="273"/>
      <c r="N25" s="273"/>
    </row>
    <row r="26" spans="1:14" ht="15.75">
      <c r="A26" s="491" t="s">
        <v>633</v>
      </c>
      <c r="B26" s="492"/>
      <c r="C26" s="492"/>
      <c r="D26" s="492"/>
      <c r="E26" s="492"/>
      <c r="F26" s="493"/>
      <c r="G26" s="132"/>
      <c r="I26" s="273"/>
      <c r="J26" s="273"/>
      <c r="K26" s="273"/>
      <c r="L26" s="273"/>
      <c r="M26" s="273"/>
      <c r="N26" s="273"/>
    </row>
    <row r="27" spans="1:14" s="345" customFormat="1" ht="31.5">
      <c r="A27" s="342">
        <v>600000</v>
      </c>
      <c r="B27" s="357" t="s">
        <v>634</v>
      </c>
      <c r="C27" s="358">
        <f>C17</f>
        <v>54941858</v>
      </c>
      <c r="D27" s="343">
        <f>D17</f>
        <v>24213852</v>
      </c>
      <c r="E27" s="343">
        <f>E17</f>
        <v>30728006</v>
      </c>
      <c r="F27" s="343">
        <f>F17</f>
        <v>30453896</v>
      </c>
      <c r="G27" s="349"/>
      <c r="I27" s="350"/>
      <c r="J27" s="350"/>
      <c r="K27" s="350"/>
      <c r="L27" s="350"/>
      <c r="M27" s="350"/>
      <c r="N27" s="350"/>
    </row>
    <row r="28" spans="1:14" s="345" customFormat="1" ht="47.25" hidden="1">
      <c r="A28" s="346">
        <v>601000</v>
      </c>
      <c r="B28" s="347" t="s">
        <v>623</v>
      </c>
      <c r="C28" s="348">
        <f>D28+E28</f>
        <v>0</v>
      </c>
      <c r="D28" s="348">
        <v>0</v>
      </c>
      <c r="E28" s="348">
        <v>0</v>
      </c>
      <c r="F28" s="348">
        <v>0</v>
      </c>
      <c r="G28" s="349"/>
    </row>
    <row r="29" spans="1:14" s="345" customFormat="1" ht="31.5" hidden="1">
      <c r="A29" s="351">
        <v>601110</v>
      </c>
      <c r="B29" s="347" t="s">
        <v>625</v>
      </c>
      <c r="C29" s="348">
        <f>D29+E29</f>
        <v>0</v>
      </c>
      <c r="D29" s="348">
        <f t="shared" ref="D29:F31" si="1">D19</f>
        <v>0</v>
      </c>
      <c r="E29" s="348">
        <f t="shared" si="1"/>
        <v>0</v>
      </c>
      <c r="F29" s="348">
        <f t="shared" si="1"/>
        <v>0</v>
      </c>
      <c r="G29" s="349"/>
    </row>
    <row r="30" spans="1:14" s="345" customFormat="1" ht="31.5" hidden="1">
      <c r="A30" s="351">
        <v>601210</v>
      </c>
      <c r="B30" s="347" t="s">
        <v>627</v>
      </c>
      <c r="C30" s="348">
        <f>D30+E30</f>
        <v>0</v>
      </c>
      <c r="D30" s="348">
        <f t="shared" si="1"/>
        <v>0</v>
      </c>
      <c r="E30" s="348">
        <f t="shared" si="1"/>
        <v>0</v>
      </c>
      <c r="F30" s="348">
        <f t="shared" si="1"/>
        <v>0</v>
      </c>
      <c r="G30" s="349"/>
    </row>
    <row r="31" spans="1:14" ht="15.75">
      <c r="A31" s="359">
        <v>602000</v>
      </c>
      <c r="B31" s="359" t="s">
        <v>635</v>
      </c>
      <c r="C31" s="348">
        <f>C21</f>
        <v>54941858</v>
      </c>
      <c r="D31" s="348">
        <f t="shared" si="1"/>
        <v>24213852</v>
      </c>
      <c r="E31" s="348">
        <f t="shared" si="1"/>
        <v>30728006</v>
      </c>
      <c r="F31" s="348">
        <f t="shared" si="1"/>
        <v>30453896</v>
      </c>
      <c r="G31" s="132"/>
    </row>
    <row r="32" spans="1:14" ht="15" customHeight="1">
      <c r="A32" s="359">
        <v>602100</v>
      </c>
      <c r="B32" s="359" t="s">
        <v>629</v>
      </c>
      <c r="C32" s="348">
        <f t="shared" ref="C32:D34" si="2">C22</f>
        <v>60780410.599999994</v>
      </c>
      <c r="D32" s="348">
        <f t="shared" si="2"/>
        <v>52931859.729999997</v>
      </c>
      <c r="E32" s="348">
        <f>E22+E19</f>
        <v>7848550.8700000001</v>
      </c>
      <c r="F32" s="348">
        <f>F22</f>
        <v>7484307.4400000004</v>
      </c>
      <c r="G32" s="132"/>
    </row>
    <row r="33" spans="1:7" ht="15.75">
      <c r="A33" s="359">
        <v>602200</v>
      </c>
      <c r="B33" s="359" t="s">
        <v>630</v>
      </c>
      <c r="C33" s="348">
        <f t="shared" si="2"/>
        <v>5838552.5999999968</v>
      </c>
      <c r="D33" s="348">
        <f t="shared" si="2"/>
        <v>5748418.7299999967</v>
      </c>
      <c r="E33" s="348">
        <f>E20+E23</f>
        <v>90133.870000000112</v>
      </c>
      <c r="F33" s="348">
        <f>F23</f>
        <v>0.44000000040978193</v>
      </c>
      <c r="G33" s="132"/>
    </row>
    <row r="34" spans="1:7" ht="47.25">
      <c r="A34" s="359">
        <v>602400</v>
      </c>
      <c r="B34" s="347" t="s">
        <v>636</v>
      </c>
      <c r="C34" s="360">
        <f t="shared" si="2"/>
        <v>0</v>
      </c>
      <c r="D34" s="348">
        <f t="shared" si="2"/>
        <v>-22969589</v>
      </c>
      <c r="E34" s="348">
        <f>E24</f>
        <v>22969589</v>
      </c>
      <c r="F34" s="348">
        <f>F24</f>
        <v>22969589</v>
      </c>
      <c r="G34" s="132"/>
    </row>
    <row r="35" spans="1:7" ht="15.75">
      <c r="A35" s="356" t="s">
        <v>556</v>
      </c>
      <c r="B35" s="342" t="s">
        <v>632</v>
      </c>
      <c r="C35" s="343">
        <f>C25</f>
        <v>54941858</v>
      </c>
      <c r="D35" s="343">
        <f>D27</f>
        <v>24213852</v>
      </c>
      <c r="E35" s="343">
        <f>E27</f>
        <v>30728006</v>
      </c>
      <c r="F35" s="343">
        <f>F27</f>
        <v>30453896</v>
      </c>
      <c r="G35" s="132"/>
    </row>
    <row r="36" spans="1:7">
      <c r="D36" s="18"/>
      <c r="E36" s="18"/>
      <c r="F36" s="18"/>
    </row>
    <row r="40" spans="1:7" ht="15">
      <c r="B40" s="7" t="s">
        <v>637</v>
      </c>
      <c r="C40" s="7"/>
      <c r="D40" s="136"/>
      <c r="E40" s="70"/>
    </row>
  </sheetData>
  <mergeCells count="14">
    <mergeCell ref="A26:F26"/>
    <mergeCell ref="C6:F6"/>
    <mergeCell ref="B8:G8"/>
    <mergeCell ref="A9:F9"/>
    <mergeCell ref="A13:A14"/>
    <mergeCell ref="B13:B14"/>
    <mergeCell ref="C13:C14"/>
    <mergeCell ref="D13:D14"/>
    <mergeCell ref="E13:F13"/>
    <mergeCell ref="D3:F3"/>
    <mergeCell ref="D4:F4"/>
    <mergeCell ref="D2:F2"/>
    <mergeCell ref="D5:F5"/>
    <mergeCell ref="A16:F16"/>
  </mergeCells>
  <pageMargins left="0.44" right="0.22" top="0.68" bottom="1" header="0.5" footer="0.5"/>
  <pageSetup paperSize="9" scale="8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T267"/>
  <sheetViews>
    <sheetView tabSelected="1" view="pageBreakPreview" zoomScale="90" zoomScaleNormal="112" zoomScaleSheetLayoutView="90" workbookViewId="0">
      <pane xSplit="4" ySplit="21" topLeftCell="E150" activePane="bottomRight" state="frozen"/>
      <selection pane="topRight" activeCell="D1" sqref="D1"/>
      <selection pane="bottomLeft" activeCell="A19" sqref="A19"/>
      <selection pane="bottomRight" activeCell="K61" sqref="K61"/>
    </sheetView>
  </sheetViews>
  <sheetFormatPr defaultRowHeight="15"/>
  <cols>
    <col min="1" max="1" width="11.42578125" style="3" customWidth="1"/>
    <col min="2" max="2" width="10.7109375" style="3" customWidth="1"/>
    <col min="3" max="3" width="9.85546875" style="3" customWidth="1"/>
    <col min="4" max="4" width="38" style="1" customWidth="1"/>
    <col min="5" max="6" width="16" style="1" customWidth="1"/>
    <col min="7" max="7" width="16.140625" style="1" customWidth="1"/>
    <col min="8" max="8" width="14.85546875" style="1" customWidth="1"/>
    <col min="9" max="9" width="10.85546875" style="1" customWidth="1"/>
    <col min="10" max="10" width="15.28515625" style="1" customWidth="1"/>
    <col min="11" max="11" width="15.42578125" style="1" customWidth="1"/>
    <col min="12" max="12" width="14.5703125" style="1" customWidth="1"/>
    <col min="13" max="13" width="12.7109375" style="1" customWidth="1"/>
    <col min="14" max="14" width="11" style="1" customWidth="1"/>
    <col min="15" max="15" width="15.28515625" style="1" customWidth="1"/>
    <col min="16" max="16" width="15.85546875" style="1" customWidth="1"/>
    <col min="17" max="17" width="14.5703125" style="1" customWidth="1"/>
    <col min="18" max="18" width="15" style="1" customWidth="1"/>
    <col min="19" max="19" width="17.42578125" style="1" customWidth="1"/>
    <col min="20" max="20" width="14.28515625" style="1" customWidth="1"/>
    <col min="21" max="16384" width="9.140625" style="1"/>
  </cols>
  <sheetData>
    <row r="1" spans="1:17" ht="14.1" customHeight="1">
      <c r="A1" s="14"/>
      <c r="B1" s="14"/>
      <c r="C1" s="14"/>
      <c r="D1" s="14"/>
      <c r="E1" s="34"/>
      <c r="F1" s="137"/>
      <c r="G1" s="138"/>
      <c r="H1" s="137"/>
      <c r="I1" s="137"/>
      <c r="J1" s="137"/>
      <c r="K1" s="137"/>
      <c r="L1" s="136"/>
      <c r="M1" s="136"/>
      <c r="N1" s="122" t="s">
        <v>578</v>
      </c>
      <c r="O1" s="122"/>
      <c r="P1" s="122"/>
      <c r="Q1" s="28"/>
    </row>
    <row r="2" spans="1:17">
      <c r="A2" s="14"/>
      <c r="B2" s="14"/>
      <c r="C2" s="14"/>
      <c r="D2" s="14"/>
      <c r="E2" s="34"/>
      <c r="F2" s="139"/>
      <c r="G2" s="140"/>
      <c r="H2" s="138"/>
      <c r="I2" s="137"/>
      <c r="J2" s="137"/>
      <c r="K2" s="137"/>
      <c r="L2" s="118" t="s">
        <v>614</v>
      </c>
      <c r="M2" s="118"/>
      <c r="N2" s="118"/>
      <c r="O2" s="118"/>
      <c r="P2" s="118"/>
      <c r="Q2" s="28"/>
    </row>
    <row r="3" spans="1:17">
      <c r="A3" s="14"/>
      <c r="B3" s="14"/>
      <c r="C3" s="14"/>
      <c r="D3" s="14"/>
      <c r="E3" s="34"/>
      <c r="F3" s="139"/>
      <c r="G3" s="140"/>
      <c r="H3" s="138"/>
      <c r="I3" s="137"/>
      <c r="J3" s="137"/>
      <c r="K3" s="137"/>
      <c r="L3" s="118" t="s">
        <v>706</v>
      </c>
      <c r="M3" s="118"/>
      <c r="N3" s="118"/>
      <c r="O3" s="118"/>
      <c r="P3" s="118"/>
      <c r="Q3" s="28"/>
    </row>
    <row r="4" spans="1:17">
      <c r="A4" s="14"/>
      <c r="B4" s="14"/>
      <c r="C4" s="14"/>
      <c r="D4" s="14"/>
      <c r="E4" s="34"/>
      <c r="F4" s="139"/>
      <c r="G4" s="140"/>
      <c r="H4" s="138"/>
      <c r="I4" s="137"/>
      <c r="J4" s="137"/>
      <c r="K4" s="137"/>
      <c r="L4" s="118" t="s">
        <v>707</v>
      </c>
      <c r="M4" s="118"/>
      <c r="N4" s="118"/>
      <c r="O4" s="118"/>
      <c r="P4" s="118"/>
      <c r="Q4" s="28"/>
    </row>
    <row r="5" spans="1:17">
      <c r="A5" s="14"/>
      <c r="B5" s="14"/>
      <c r="C5" s="14"/>
      <c r="D5" s="14"/>
      <c r="E5" s="36"/>
      <c r="F5" s="141"/>
      <c r="G5" s="141"/>
      <c r="H5" s="139"/>
      <c r="I5" s="76"/>
      <c r="J5" s="76"/>
      <c r="K5" s="137"/>
      <c r="L5" s="530" t="s">
        <v>753</v>
      </c>
      <c r="M5" s="530"/>
      <c r="N5" s="530"/>
      <c r="O5" s="530"/>
      <c r="P5" s="122"/>
      <c r="Q5" s="28"/>
    </row>
    <row r="6" spans="1:17">
      <c r="A6" s="79"/>
      <c r="B6" s="14"/>
      <c r="C6" s="14"/>
      <c r="D6" s="14"/>
      <c r="E6" s="34"/>
      <c r="F6" s="141"/>
      <c r="G6" s="141"/>
      <c r="H6" s="138"/>
      <c r="I6" s="141"/>
      <c r="J6" s="141"/>
      <c r="K6" s="137"/>
      <c r="L6" s="118"/>
      <c r="M6" s="118"/>
      <c r="N6" s="118"/>
      <c r="O6" s="118"/>
      <c r="P6" s="118"/>
      <c r="Q6" s="28"/>
    </row>
    <row r="7" spans="1:17" hidden="1">
      <c r="A7" s="79"/>
      <c r="B7" s="14"/>
      <c r="C7" s="14"/>
      <c r="D7" s="14"/>
      <c r="E7" s="34"/>
      <c r="F7" s="140"/>
      <c r="G7" s="140"/>
      <c r="H7" s="137"/>
      <c r="I7" s="137"/>
      <c r="J7" s="137"/>
      <c r="K7" s="137"/>
      <c r="L7" s="118"/>
      <c r="M7" s="118"/>
      <c r="N7" s="118"/>
      <c r="O7" s="118"/>
      <c r="P7" s="118"/>
    </row>
    <row r="8" spans="1:17" ht="18" customHeight="1">
      <c r="A8" s="13"/>
      <c r="B8" s="13"/>
      <c r="C8" s="13"/>
      <c r="D8" s="13"/>
      <c r="E8" s="69"/>
      <c r="F8" s="142"/>
      <c r="G8" s="136"/>
      <c r="H8" s="143" t="s">
        <v>185</v>
      </c>
      <c r="I8" s="143"/>
      <c r="J8" s="142"/>
      <c r="K8" s="142"/>
      <c r="L8" s="142"/>
      <c r="M8" s="142"/>
      <c r="N8" s="142"/>
      <c r="O8" s="142"/>
      <c r="P8" s="144"/>
    </row>
    <row r="9" spans="1:17" ht="17.25" customHeight="1">
      <c r="A9" s="12"/>
      <c r="B9" s="12"/>
      <c r="C9" s="12"/>
      <c r="D9" s="12"/>
      <c r="E9" s="12"/>
      <c r="F9" s="12"/>
      <c r="H9" s="19"/>
      <c r="I9" s="19"/>
      <c r="J9" s="12"/>
      <c r="K9" s="12"/>
      <c r="L9" s="12"/>
      <c r="M9" s="12"/>
      <c r="N9" s="12"/>
      <c r="O9" s="12"/>
      <c r="P9" s="12"/>
    </row>
    <row r="10" spans="1:17" ht="13.5" customHeight="1">
      <c r="A10" s="119">
        <v>2356400000</v>
      </c>
      <c r="B10" s="12"/>
      <c r="C10" s="12"/>
      <c r="D10" s="12"/>
      <c r="E10" s="286"/>
      <c r="F10" s="286"/>
      <c r="G10" s="286"/>
      <c r="H10" s="286"/>
      <c r="I10" s="286"/>
      <c r="J10" s="286"/>
      <c r="K10" s="286"/>
      <c r="L10" s="286"/>
      <c r="M10" s="286"/>
      <c r="N10" s="286"/>
      <c r="O10" s="286"/>
      <c r="P10" s="286"/>
    </row>
    <row r="11" spans="1:17" ht="12" customHeight="1">
      <c r="A11" s="33" t="s">
        <v>525</v>
      </c>
      <c r="B11" s="12"/>
      <c r="C11" s="12"/>
      <c r="D11" s="12"/>
      <c r="E11" s="471"/>
      <c r="F11" s="471"/>
      <c r="G11" s="471"/>
      <c r="H11" s="471"/>
      <c r="I11" s="471"/>
      <c r="J11" s="471"/>
      <c r="K11" s="471"/>
      <c r="L11" s="471"/>
      <c r="M11" s="471"/>
      <c r="N11" s="471"/>
      <c r="O11" s="471"/>
      <c r="P11" s="471"/>
    </row>
    <row r="12" spans="1:17" ht="15" customHeight="1">
      <c r="A12" s="15"/>
      <c r="B12" s="15"/>
      <c r="C12" s="15"/>
      <c r="D12" s="15"/>
      <c r="E12" s="15"/>
      <c r="F12" s="15"/>
      <c r="G12" s="15"/>
      <c r="H12" s="15"/>
      <c r="I12" s="15"/>
      <c r="J12" s="15"/>
      <c r="K12" s="15"/>
      <c r="L12" s="15"/>
      <c r="M12" s="15"/>
      <c r="N12" s="15"/>
      <c r="O12" s="15"/>
      <c r="P12" s="15" t="s">
        <v>29</v>
      </c>
    </row>
    <row r="13" spans="1:17" ht="12.75" customHeight="1">
      <c r="A13" s="499" t="s">
        <v>186</v>
      </c>
      <c r="B13" s="499" t="s">
        <v>499</v>
      </c>
      <c r="C13" s="499" t="s">
        <v>468</v>
      </c>
      <c r="D13" s="502" t="s">
        <v>329</v>
      </c>
      <c r="E13" s="511" t="s">
        <v>562</v>
      </c>
      <c r="F13" s="512"/>
      <c r="G13" s="512"/>
      <c r="H13" s="512"/>
      <c r="I13" s="513"/>
      <c r="J13" s="531" t="s">
        <v>548</v>
      </c>
      <c r="K13" s="531"/>
      <c r="L13" s="531"/>
      <c r="M13" s="531"/>
      <c r="N13" s="531"/>
      <c r="O13" s="531"/>
      <c r="P13" s="521" t="s">
        <v>549</v>
      </c>
    </row>
    <row r="14" spans="1:17" ht="12.75" hidden="1" customHeight="1">
      <c r="A14" s="500"/>
      <c r="B14" s="500"/>
      <c r="C14" s="500"/>
      <c r="D14" s="503"/>
      <c r="E14" s="514"/>
      <c r="F14" s="515"/>
      <c r="G14" s="515"/>
      <c r="H14" s="515"/>
      <c r="I14" s="516"/>
      <c r="J14" s="531"/>
      <c r="K14" s="531"/>
      <c r="L14" s="531"/>
      <c r="M14" s="531"/>
      <c r="N14" s="531"/>
      <c r="O14" s="531"/>
      <c r="P14" s="522"/>
    </row>
    <row r="15" spans="1:17" ht="12.75" hidden="1" customHeight="1">
      <c r="A15" s="500"/>
      <c r="B15" s="500"/>
      <c r="C15" s="500"/>
      <c r="D15" s="503"/>
      <c r="E15" s="514"/>
      <c r="F15" s="515"/>
      <c r="G15" s="515"/>
      <c r="H15" s="515"/>
      <c r="I15" s="516"/>
      <c r="J15" s="531"/>
      <c r="K15" s="531"/>
      <c r="L15" s="531"/>
      <c r="M15" s="531"/>
      <c r="N15" s="531"/>
      <c r="O15" s="531"/>
      <c r="P15" s="522"/>
    </row>
    <row r="16" spans="1:17" ht="12.75" hidden="1" customHeight="1">
      <c r="A16" s="500"/>
      <c r="B16" s="500"/>
      <c r="C16" s="500"/>
      <c r="D16" s="503"/>
      <c r="E16" s="514"/>
      <c r="F16" s="515"/>
      <c r="G16" s="515"/>
      <c r="H16" s="515"/>
      <c r="I16" s="516"/>
      <c r="J16" s="531"/>
      <c r="K16" s="531"/>
      <c r="L16" s="531"/>
      <c r="M16" s="531"/>
      <c r="N16" s="531"/>
      <c r="O16" s="531"/>
      <c r="P16" s="522"/>
    </row>
    <row r="17" spans="1:20" ht="12.4" hidden="1" customHeight="1">
      <c r="A17" s="500"/>
      <c r="B17" s="500"/>
      <c r="C17" s="500"/>
      <c r="D17" s="503"/>
      <c r="E17" s="517"/>
      <c r="F17" s="518"/>
      <c r="G17" s="518"/>
      <c r="H17" s="518"/>
      <c r="I17" s="519"/>
      <c r="J17" s="531"/>
      <c r="K17" s="531"/>
      <c r="L17" s="531"/>
      <c r="M17" s="531"/>
      <c r="N17" s="531"/>
      <c r="O17" s="531"/>
      <c r="P17" s="522"/>
    </row>
    <row r="18" spans="1:20" ht="34.700000000000003" customHeight="1">
      <c r="A18" s="500"/>
      <c r="B18" s="500"/>
      <c r="C18" s="500"/>
      <c r="D18" s="503"/>
      <c r="E18" s="505" t="s">
        <v>550</v>
      </c>
      <c r="F18" s="508" t="s">
        <v>31</v>
      </c>
      <c r="G18" s="526" t="s">
        <v>551</v>
      </c>
      <c r="H18" s="527"/>
      <c r="I18" s="532" t="s">
        <v>32</v>
      </c>
      <c r="J18" s="505" t="s">
        <v>550</v>
      </c>
      <c r="K18" s="77" t="s">
        <v>112</v>
      </c>
      <c r="L18" s="508" t="s">
        <v>33</v>
      </c>
      <c r="M18" s="526" t="s">
        <v>551</v>
      </c>
      <c r="N18" s="527"/>
      <c r="O18" s="532" t="s">
        <v>32</v>
      </c>
      <c r="P18" s="522"/>
    </row>
    <row r="19" spans="1:20" ht="34.700000000000003" customHeight="1">
      <c r="A19" s="500"/>
      <c r="B19" s="500"/>
      <c r="C19" s="500"/>
      <c r="D19" s="503"/>
      <c r="E19" s="506"/>
      <c r="F19" s="509"/>
      <c r="G19" s="520" t="s">
        <v>523</v>
      </c>
      <c r="H19" s="528" t="s">
        <v>544</v>
      </c>
      <c r="I19" s="533"/>
      <c r="J19" s="506"/>
      <c r="K19" s="524" t="s">
        <v>598</v>
      </c>
      <c r="L19" s="509"/>
      <c r="M19" s="505" t="s">
        <v>523</v>
      </c>
      <c r="N19" s="528" t="s">
        <v>544</v>
      </c>
      <c r="O19" s="533"/>
      <c r="P19" s="522"/>
    </row>
    <row r="20" spans="1:20" ht="117.75" customHeight="1">
      <c r="A20" s="501"/>
      <c r="B20" s="501"/>
      <c r="C20" s="501"/>
      <c r="D20" s="504"/>
      <c r="E20" s="507"/>
      <c r="F20" s="510"/>
      <c r="G20" s="520"/>
      <c r="H20" s="529"/>
      <c r="I20" s="534"/>
      <c r="J20" s="507"/>
      <c r="K20" s="525"/>
      <c r="L20" s="510"/>
      <c r="M20" s="507"/>
      <c r="N20" s="529"/>
      <c r="O20" s="534"/>
      <c r="P20" s="523"/>
    </row>
    <row r="21" spans="1:20">
      <c r="A21" s="4" t="s">
        <v>557</v>
      </c>
      <c r="B21" s="4" t="s">
        <v>522</v>
      </c>
      <c r="C21" s="4" t="s">
        <v>558</v>
      </c>
      <c r="D21" s="2">
        <v>4</v>
      </c>
      <c r="E21" s="2">
        <v>5</v>
      </c>
      <c r="F21" s="2">
        <v>6</v>
      </c>
      <c r="G21" s="2">
        <v>7</v>
      </c>
      <c r="H21" s="2">
        <v>8</v>
      </c>
      <c r="I21" s="2">
        <v>9</v>
      </c>
      <c r="J21" s="2">
        <v>10</v>
      </c>
      <c r="K21" s="2">
        <v>11</v>
      </c>
      <c r="L21" s="2">
        <v>12</v>
      </c>
      <c r="M21" s="2">
        <v>13</v>
      </c>
      <c r="N21" s="2">
        <v>14</v>
      </c>
      <c r="O21" s="2">
        <v>15</v>
      </c>
      <c r="P21" s="2">
        <v>16</v>
      </c>
    </row>
    <row r="22" spans="1:20" ht="27">
      <c r="A22" s="199" t="s">
        <v>4</v>
      </c>
      <c r="B22" s="20"/>
      <c r="C22" s="20"/>
      <c r="D22" s="44" t="s">
        <v>410</v>
      </c>
      <c r="E22" s="80">
        <f t="shared" ref="E22:L22" si="0">E23</f>
        <v>118903695</v>
      </c>
      <c r="F22" s="80">
        <f t="shared" si="0"/>
        <v>118903695</v>
      </c>
      <c r="G22" s="80">
        <f t="shared" si="0"/>
        <v>37252943</v>
      </c>
      <c r="H22" s="80">
        <f t="shared" si="0"/>
        <v>11700241</v>
      </c>
      <c r="I22" s="80"/>
      <c r="J22" s="80">
        <f t="shared" si="0"/>
        <v>30857157</v>
      </c>
      <c r="K22" s="80">
        <f t="shared" si="0"/>
        <v>29777047</v>
      </c>
      <c r="L22" s="80">
        <f t="shared" si="0"/>
        <v>1014110</v>
      </c>
      <c r="M22" s="80"/>
      <c r="N22" s="80"/>
      <c r="O22" s="80">
        <f>O23</f>
        <v>29843047</v>
      </c>
      <c r="P22" s="80">
        <f>P23</f>
        <v>149760852</v>
      </c>
      <c r="Q22" s="17"/>
      <c r="R22" s="9"/>
      <c r="S22" s="74"/>
    </row>
    <row r="23" spans="1:20" ht="30.75" customHeight="1">
      <c r="A23" s="199" t="s">
        <v>5</v>
      </c>
      <c r="B23" s="199"/>
      <c r="C23" s="199"/>
      <c r="D23" s="117" t="s">
        <v>410</v>
      </c>
      <c r="E23" s="80">
        <f>E24+E25+E33+E36+E39+E46+E49+E50+E52+E54+E57+E58+E59+E60+E61+E62+E64+E65+E66+E68+E69+E70+E71+E72+E73+E74+E75+E77+E78+E79+E80+E81+E82+E83+E84+E85+E88+E89+E90+E91+E92+E94+E95</f>
        <v>118903695</v>
      </c>
      <c r="F23" s="80">
        <f t="shared" ref="F23:H23" si="1">F24+F25+F33+F36+F39+F46+F49+F50+F52+F54+F57+F58+F59+F60+F61+F62+F64+F65+F66+F68+F69+F70+F71+F72+F73+F74+F75+F77+F78+F79+F80+F81+F82+F83+F84+F85+F88+F89+F90+F91+F92+F94+F95</f>
        <v>118903695</v>
      </c>
      <c r="G23" s="80">
        <f t="shared" si="1"/>
        <v>37252943</v>
      </c>
      <c r="H23" s="80">
        <f t="shared" si="1"/>
        <v>11700241</v>
      </c>
      <c r="I23" s="80"/>
      <c r="J23" s="80">
        <f>J24+J25+J33+J36+J39+J46+J49+J50+J52+J54+J57+J58+J59+J60+J61+J62+J64+J65+J66+J68+J69+J70+J71+J72+J73+J74+J75+J76+J77+J78+J79+J80+J81+J82+J83+J84+J85+J88+J89+J90+J91+J92+J93+J94+J95</f>
        <v>30857157</v>
      </c>
      <c r="K23" s="80">
        <f t="shared" ref="K23:L23" si="2">K24+K25+K33+K36+K39+K46+K49+K50+K52+K54+K57+K58+K59+K60+K61+K62+K64+K65+K66+K68+K69+K70+K71+K72+K73+K74+K75+K76+K77+K78+K79+K80+K81+K82+K83+K84+K85+K88+K89+K90+K91+K92+K93+K94+K95</f>
        <v>29777047</v>
      </c>
      <c r="L23" s="80">
        <f t="shared" si="2"/>
        <v>1014110</v>
      </c>
      <c r="M23" s="80"/>
      <c r="N23" s="80"/>
      <c r="O23" s="80">
        <f>O24+O25+O33+O36+O39+O46+O49+O50+O52+O54+O57+O58+O59+O60+O61+O62+O64+O65+O66+O68+O69+O70+O71+O72+O73+O74+O75+O76+O77+O78+O79+O80+O81+O82+O83+O84+O85+O88+O89+O90+O91+O92+O93+O94+O95</f>
        <v>29843047</v>
      </c>
      <c r="P23" s="80">
        <f>P24+P25+P33+P36+P39+P46+P49+P50+P52+P54+P57+P58+P59+P60+P61+P62+P64+P65+P66+P68+P69+P70+P71+P72+P73+P74+P75+P76+P77+P78+P79+P80+P81+P82+P83+P84+P85+P88+P89+P90+P91+P92+P93+P94+P95</f>
        <v>149760852</v>
      </c>
      <c r="Q23" s="17"/>
      <c r="R23" s="457"/>
      <c r="S23" s="457"/>
      <c r="T23" s="74"/>
    </row>
    <row r="24" spans="1:20" ht="38.450000000000003" customHeight="1">
      <c r="A24" s="20" t="s">
        <v>411</v>
      </c>
      <c r="B24" s="20" t="s">
        <v>510</v>
      </c>
      <c r="C24" s="20" t="s">
        <v>35</v>
      </c>
      <c r="D24" s="21" t="s">
        <v>409</v>
      </c>
      <c r="E24" s="27">
        <f>31341789+7000+77636+52151+16700+4570+224464+73954+71600</f>
        <v>31869864</v>
      </c>
      <c r="F24" s="26">
        <f>E24-I24</f>
        <v>31869864</v>
      </c>
      <c r="G24" s="27">
        <f>22748353+315000</f>
        <v>23063353</v>
      </c>
      <c r="H24" s="27">
        <v>1984152</v>
      </c>
      <c r="I24" s="81"/>
      <c r="J24" s="267">
        <f>49551+237000+28360+25000</f>
        <v>339911</v>
      </c>
      <c r="K24" s="267">
        <f>49551+237000+28360+25000</f>
        <v>339911</v>
      </c>
      <c r="L24" s="268"/>
      <c r="M24" s="267"/>
      <c r="N24" s="267"/>
      <c r="O24" s="267">
        <f>49551+237000+28360+25000</f>
        <v>339911</v>
      </c>
      <c r="P24" s="23">
        <f>E24+J24</f>
        <v>32209775</v>
      </c>
      <c r="Q24" s="287"/>
      <c r="R24" s="458"/>
      <c r="S24" s="458"/>
      <c r="T24" s="74"/>
    </row>
    <row r="25" spans="1:20" s="6" customFormat="1" ht="25.9" customHeight="1">
      <c r="A25" s="20" t="s">
        <v>6</v>
      </c>
      <c r="B25" s="20" t="s">
        <v>461</v>
      </c>
      <c r="C25" s="20" t="s">
        <v>37</v>
      </c>
      <c r="D25" s="22" t="s">
        <v>527</v>
      </c>
      <c r="E25" s="27">
        <f>12520420+1700000+766900+125000+40000+208560</f>
        <v>15360880</v>
      </c>
      <c r="F25" s="26">
        <f>E25-I25</f>
        <v>15360880</v>
      </c>
      <c r="G25" s="27"/>
      <c r="H25" s="27"/>
      <c r="I25" s="27"/>
      <c r="J25" s="27">
        <f>1480000+1500000</f>
        <v>2980000</v>
      </c>
      <c r="K25" s="27">
        <f>1480000+1500000</f>
        <v>2980000</v>
      </c>
      <c r="L25" s="25"/>
      <c r="M25" s="27"/>
      <c r="N25" s="27"/>
      <c r="O25" s="27">
        <f>1480000+1500000</f>
        <v>2980000</v>
      </c>
      <c r="P25" s="23">
        <f>E25+J25</f>
        <v>18340880</v>
      </c>
      <c r="Q25" s="17"/>
      <c r="R25" s="141"/>
      <c r="S25" s="141"/>
      <c r="T25" s="74"/>
    </row>
    <row r="26" spans="1:20" s="6" customFormat="1" ht="16.5" customHeight="1">
      <c r="A26" s="20"/>
      <c r="B26" s="20"/>
      <c r="C26" s="20"/>
      <c r="D26" s="22" t="s">
        <v>412</v>
      </c>
      <c r="E26" s="27">
        <f>E25-E27-E28-E30-E31-E32</f>
        <v>11302080</v>
      </c>
      <c r="F26" s="27">
        <f>F25-F27-F28-F30-F31-F32</f>
        <v>11302080</v>
      </c>
      <c r="G26" s="27"/>
      <c r="H26" s="27"/>
      <c r="I26" s="27"/>
      <c r="J26" s="27">
        <f>1480000+1500000</f>
        <v>2980000</v>
      </c>
      <c r="K26" s="27">
        <f>1480000+1500000</f>
        <v>2980000</v>
      </c>
      <c r="L26" s="27"/>
      <c r="M26" s="27"/>
      <c r="N26" s="27"/>
      <c r="O26" s="27">
        <f>1480000+1500000</f>
        <v>2980000</v>
      </c>
      <c r="P26" s="27">
        <f>P25-P27-P28-P30-P31-P32</f>
        <v>14282080</v>
      </c>
      <c r="Q26" s="17"/>
      <c r="R26" s="141"/>
      <c r="S26" s="141"/>
      <c r="T26" s="74"/>
    </row>
    <row r="27" spans="1:20" s="6" customFormat="1" ht="60" customHeight="1">
      <c r="A27" s="20"/>
      <c r="B27" s="20"/>
      <c r="C27" s="20"/>
      <c r="D27" s="22" t="s">
        <v>172</v>
      </c>
      <c r="E27" s="27">
        <v>2691900</v>
      </c>
      <c r="F27" s="26">
        <f>E27-I27</f>
        <v>2691900</v>
      </c>
      <c r="G27" s="27"/>
      <c r="H27" s="27"/>
      <c r="I27" s="27"/>
      <c r="J27" s="27"/>
      <c r="K27" s="27"/>
      <c r="L27" s="25"/>
      <c r="M27" s="23"/>
      <c r="N27" s="23"/>
      <c r="O27" s="27"/>
      <c r="P27" s="23">
        <f t="shared" ref="P27:P33" si="3">E27+J27</f>
        <v>2691900</v>
      </c>
      <c r="Q27" s="17"/>
      <c r="R27" s="141"/>
      <c r="S27" s="141"/>
      <c r="T27" s="74"/>
    </row>
    <row r="28" spans="1:20" s="6" customFormat="1" ht="93" customHeight="1">
      <c r="A28" s="20"/>
      <c r="B28" s="20"/>
      <c r="C28" s="20"/>
      <c r="D28" s="22" t="s">
        <v>677</v>
      </c>
      <c r="E28" s="27">
        <v>766900</v>
      </c>
      <c r="F28" s="26">
        <f>E28-I28</f>
        <v>766900</v>
      </c>
      <c r="G28" s="27"/>
      <c r="H28" s="27"/>
      <c r="I28" s="27"/>
      <c r="J28" s="27"/>
      <c r="K28" s="27"/>
      <c r="L28" s="25"/>
      <c r="M28" s="23"/>
      <c r="N28" s="23"/>
      <c r="O28" s="27"/>
      <c r="P28" s="23">
        <f t="shared" si="3"/>
        <v>766900</v>
      </c>
      <c r="Q28" s="17"/>
      <c r="R28" s="141"/>
      <c r="S28" s="141"/>
      <c r="T28" s="74"/>
    </row>
    <row r="29" spans="1:20" s="6" customFormat="1" ht="108" hidden="1">
      <c r="A29" s="20"/>
      <c r="B29" s="20"/>
      <c r="C29" s="20"/>
      <c r="D29" s="22" t="s">
        <v>555</v>
      </c>
      <c r="E29" s="27"/>
      <c r="F29" s="26"/>
      <c r="G29" s="27"/>
      <c r="H29" s="27"/>
      <c r="I29" s="27"/>
      <c r="J29" s="27"/>
      <c r="K29" s="27"/>
      <c r="L29" s="25"/>
      <c r="M29" s="23"/>
      <c r="N29" s="23"/>
      <c r="O29" s="27"/>
      <c r="P29" s="23">
        <f t="shared" si="3"/>
        <v>0</v>
      </c>
      <c r="Q29" s="17"/>
      <c r="R29" s="141"/>
      <c r="S29" s="141"/>
      <c r="T29" s="74"/>
    </row>
    <row r="30" spans="1:20" s="6" customFormat="1" ht="97.5" hidden="1" customHeight="1">
      <c r="A30" s="20"/>
      <c r="B30" s="20"/>
      <c r="C30" s="20"/>
      <c r="D30" s="22" t="s">
        <v>77</v>
      </c>
      <c r="E30" s="27"/>
      <c r="F30" s="26">
        <f>E30-I30</f>
        <v>0</v>
      </c>
      <c r="G30" s="27"/>
      <c r="H30" s="27"/>
      <c r="I30" s="27"/>
      <c r="J30" s="27"/>
      <c r="K30" s="27"/>
      <c r="L30" s="25"/>
      <c r="M30" s="23"/>
      <c r="N30" s="23"/>
      <c r="O30" s="27"/>
      <c r="P30" s="23">
        <f t="shared" si="3"/>
        <v>0</v>
      </c>
      <c r="Q30" s="17"/>
      <c r="R30" s="141"/>
      <c r="S30" s="141"/>
      <c r="T30" s="74"/>
    </row>
    <row r="31" spans="1:20" s="6" customFormat="1" ht="97.5" hidden="1" customHeight="1">
      <c r="A31" s="20"/>
      <c r="B31" s="20"/>
      <c r="C31" s="20"/>
      <c r="D31" s="22" t="s">
        <v>581</v>
      </c>
      <c r="E31" s="27"/>
      <c r="F31" s="26">
        <f>E31-I31</f>
        <v>0</v>
      </c>
      <c r="G31" s="27"/>
      <c r="H31" s="27"/>
      <c r="I31" s="27"/>
      <c r="J31" s="27"/>
      <c r="K31" s="27"/>
      <c r="L31" s="25"/>
      <c r="M31" s="23"/>
      <c r="N31" s="23"/>
      <c r="O31" s="27"/>
      <c r="P31" s="23">
        <f t="shared" si="3"/>
        <v>0</v>
      </c>
      <c r="Q31" s="17"/>
      <c r="R31" s="141"/>
      <c r="S31" s="141"/>
      <c r="T31" s="74"/>
    </row>
    <row r="32" spans="1:20" s="6" customFormat="1" ht="26.45" customHeight="1">
      <c r="A32" s="20"/>
      <c r="B32" s="20"/>
      <c r="C32" s="20"/>
      <c r="D32" s="22" t="s">
        <v>524</v>
      </c>
      <c r="E32" s="27">
        <v>600000</v>
      </c>
      <c r="F32" s="26">
        <f>E32-I32</f>
        <v>600000</v>
      </c>
      <c r="G32" s="27"/>
      <c r="H32" s="27"/>
      <c r="I32" s="27"/>
      <c r="J32" s="27"/>
      <c r="K32" s="27"/>
      <c r="L32" s="25"/>
      <c r="M32" s="23"/>
      <c r="N32" s="23"/>
      <c r="O32" s="27"/>
      <c r="P32" s="23">
        <f t="shared" si="3"/>
        <v>600000</v>
      </c>
      <c r="Q32" s="17"/>
      <c r="R32" s="141"/>
      <c r="S32" s="141"/>
      <c r="T32" s="74"/>
    </row>
    <row r="33" spans="1:20" s="6" customFormat="1" ht="35.450000000000003" customHeight="1">
      <c r="A33" s="20" t="s">
        <v>7</v>
      </c>
      <c r="B33" s="20" t="s">
        <v>471</v>
      </c>
      <c r="C33" s="20" t="s">
        <v>92</v>
      </c>
      <c r="D33" s="22" t="s">
        <v>97</v>
      </c>
      <c r="E33" s="27">
        <f>5042886+9200+148710+12870+12810+34516+291653.4+118120</f>
        <v>5670765.4000000004</v>
      </c>
      <c r="F33" s="26">
        <f>E33-I33</f>
        <v>5670765.4000000004</v>
      </c>
      <c r="G33" s="27"/>
      <c r="H33" s="27"/>
      <c r="I33" s="27"/>
      <c r="J33" s="27"/>
      <c r="K33" s="27"/>
      <c r="L33" s="25"/>
      <c r="M33" s="27"/>
      <c r="N33" s="27"/>
      <c r="O33" s="27"/>
      <c r="P33" s="27">
        <f t="shared" si="3"/>
        <v>5670765.4000000004</v>
      </c>
      <c r="Q33" s="17"/>
      <c r="R33" s="141"/>
      <c r="S33" s="141"/>
      <c r="T33" s="74"/>
    </row>
    <row r="34" spans="1:20" s="6" customFormat="1" ht="20.25" customHeight="1">
      <c r="A34" s="20"/>
      <c r="B34" s="20"/>
      <c r="C34" s="20"/>
      <c r="D34" s="22" t="s">
        <v>413</v>
      </c>
      <c r="E34" s="27">
        <f>E33-E35</f>
        <v>4116944.0000000005</v>
      </c>
      <c r="F34" s="27">
        <f>F33-F35</f>
        <v>4116944.0000000005</v>
      </c>
      <c r="G34" s="27"/>
      <c r="H34" s="27"/>
      <c r="I34" s="27"/>
      <c r="J34" s="27"/>
      <c r="K34" s="27"/>
      <c r="L34" s="25"/>
      <c r="M34" s="27"/>
      <c r="N34" s="27"/>
      <c r="O34" s="27"/>
      <c r="P34" s="27">
        <f>P33-P35</f>
        <v>4116944.0000000005</v>
      </c>
      <c r="Q34" s="17"/>
      <c r="R34" s="141"/>
      <c r="S34" s="141"/>
      <c r="T34" s="74"/>
    </row>
    <row r="35" spans="1:20" s="6" customFormat="1" ht="28.15" customHeight="1">
      <c r="A35" s="20"/>
      <c r="B35" s="20"/>
      <c r="C35" s="20"/>
      <c r="D35" s="22" t="s">
        <v>524</v>
      </c>
      <c r="E35" s="27">
        <f>1529085+24736.4</f>
        <v>1553821.4</v>
      </c>
      <c r="F35" s="26">
        <f>E35-I35</f>
        <v>1553821.4</v>
      </c>
      <c r="G35" s="27"/>
      <c r="H35" s="27"/>
      <c r="I35" s="27"/>
      <c r="J35" s="27"/>
      <c r="K35" s="27"/>
      <c r="L35" s="25"/>
      <c r="M35" s="27"/>
      <c r="N35" s="27"/>
      <c r="O35" s="27"/>
      <c r="P35" s="27">
        <f t="shared" ref="P35:P68" si="4">E35+J35</f>
        <v>1553821.4</v>
      </c>
      <c r="Q35" s="17"/>
      <c r="R35" s="141"/>
      <c r="S35" s="141"/>
      <c r="T35" s="74"/>
    </row>
    <row r="36" spans="1:20" s="6" customFormat="1" ht="24.6" customHeight="1">
      <c r="A36" s="20" t="s">
        <v>130</v>
      </c>
      <c r="B36" s="20" t="s">
        <v>131</v>
      </c>
      <c r="C36" s="20" t="s">
        <v>38</v>
      </c>
      <c r="D36" s="22" t="s">
        <v>132</v>
      </c>
      <c r="E36" s="27">
        <f>199200-161653.4</f>
        <v>37546.600000000006</v>
      </c>
      <c r="F36" s="26">
        <f>E36-I36</f>
        <v>37546.600000000006</v>
      </c>
      <c r="G36" s="27"/>
      <c r="H36" s="27"/>
      <c r="I36" s="27"/>
      <c r="J36" s="27"/>
      <c r="K36" s="27"/>
      <c r="L36" s="25"/>
      <c r="M36" s="27"/>
      <c r="N36" s="27"/>
      <c r="O36" s="27"/>
      <c r="P36" s="27">
        <f t="shared" si="4"/>
        <v>37546.600000000006</v>
      </c>
      <c r="Q36" s="17"/>
      <c r="R36" s="141"/>
      <c r="S36" s="141"/>
      <c r="T36" s="74"/>
    </row>
    <row r="37" spans="1:20" s="6" customFormat="1" ht="18" customHeight="1">
      <c r="A37" s="20"/>
      <c r="B37" s="20"/>
      <c r="C37" s="20"/>
      <c r="D37" s="22" t="s">
        <v>413</v>
      </c>
      <c r="E37" s="26">
        <f>E36-E38</f>
        <v>33792.000000000007</v>
      </c>
      <c r="F37" s="26">
        <f>E37-I37</f>
        <v>33792.000000000007</v>
      </c>
      <c r="G37" s="27"/>
      <c r="H37" s="27"/>
      <c r="I37" s="27"/>
      <c r="J37" s="27"/>
      <c r="K37" s="27"/>
      <c r="L37" s="25"/>
      <c r="M37" s="27"/>
      <c r="N37" s="27"/>
      <c r="O37" s="27"/>
      <c r="P37" s="27">
        <f t="shared" si="4"/>
        <v>33792.000000000007</v>
      </c>
      <c r="Q37" s="17"/>
      <c r="R37" s="141"/>
      <c r="S37" s="141"/>
      <c r="T37" s="74"/>
    </row>
    <row r="38" spans="1:20" s="6" customFormat="1" ht="28.15" customHeight="1">
      <c r="A38" s="20"/>
      <c r="B38" s="20"/>
      <c r="C38" s="20"/>
      <c r="D38" s="22" t="s">
        <v>524</v>
      </c>
      <c r="E38" s="27">
        <f>26400-22645.4</f>
        <v>3754.5999999999985</v>
      </c>
      <c r="F38" s="26">
        <f>E38-I38</f>
        <v>3754.5999999999985</v>
      </c>
      <c r="G38" s="27"/>
      <c r="H38" s="27"/>
      <c r="I38" s="27"/>
      <c r="J38" s="27"/>
      <c r="K38" s="27"/>
      <c r="L38" s="25"/>
      <c r="M38" s="27"/>
      <c r="N38" s="27"/>
      <c r="O38" s="27"/>
      <c r="P38" s="27">
        <f t="shared" si="4"/>
        <v>3754.5999999999985</v>
      </c>
      <c r="Q38" s="17"/>
      <c r="R38" s="141"/>
      <c r="S38" s="141"/>
      <c r="T38" s="74"/>
    </row>
    <row r="39" spans="1:20" s="6" customFormat="1" ht="25.15" hidden="1" customHeight="1">
      <c r="A39" s="20" t="s">
        <v>597</v>
      </c>
      <c r="B39" s="20" t="s">
        <v>472</v>
      </c>
      <c r="C39" s="20" t="s">
        <v>38</v>
      </c>
      <c r="D39" s="22" t="s">
        <v>596</v>
      </c>
      <c r="E39" s="27"/>
      <c r="F39" s="26">
        <f t="shared" ref="F39:F49" si="5">E39-I39</f>
        <v>0</v>
      </c>
      <c r="G39" s="27"/>
      <c r="H39" s="27"/>
      <c r="I39" s="27"/>
      <c r="J39" s="27"/>
      <c r="K39" s="27"/>
      <c r="L39" s="25">
        <f t="shared" ref="L39:L54" si="6">J39-O39</f>
        <v>0</v>
      </c>
      <c r="M39" s="27"/>
      <c r="N39" s="27"/>
      <c r="O39" s="27"/>
      <c r="P39" s="23">
        <f t="shared" si="4"/>
        <v>0</v>
      </c>
      <c r="Q39" s="17"/>
      <c r="R39" s="141"/>
      <c r="S39" s="141"/>
      <c r="T39" s="74"/>
    </row>
    <row r="40" spans="1:20" s="6" customFormat="1" ht="27" hidden="1">
      <c r="A40" s="20" t="s">
        <v>8</v>
      </c>
      <c r="B40" s="20" t="s">
        <v>473</v>
      </c>
      <c r="C40" s="20" t="s">
        <v>38</v>
      </c>
      <c r="D40" s="22" t="s">
        <v>107</v>
      </c>
      <c r="E40" s="27"/>
      <c r="F40" s="26">
        <f t="shared" si="5"/>
        <v>0</v>
      </c>
      <c r="G40" s="27"/>
      <c r="H40" s="27"/>
      <c r="I40" s="27"/>
      <c r="J40" s="27"/>
      <c r="K40" s="27"/>
      <c r="L40" s="25">
        <f t="shared" si="6"/>
        <v>0</v>
      </c>
      <c r="M40" s="27"/>
      <c r="N40" s="27"/>
      <c r="O40" s="27"/>
      <c r="P40" s="23">
        <f t="shared" si="4"/>
        <v>0</v>
      </c>
      <c r="Q40" s="17"/>
      <c r="R40" s="141"/>
      <c r="S40" s="141"/>
      <c r="T40" s="74"/>
    </row>
    <row r="41" spans="1:20" s="6" customFormat="1" ht="17.45" hidden="1" customHeight="1">
      <c r="A41" s="20"/>
      <c r="B41" s="20"/>
      <c r="C41" s="20"/>
      <c r="D41" s="22" t="s">
        <v>412</v>
      </c>
      <c r="E41" s="27"/>
      <c r="F41" s="26">
        <f t="shared" si="5"/>
        <v>0</v>
      </c>
      <c r="G41" s="27"/>
      <c r="H41" s="27"/>
      <c r="I41" s="27"/>
      <c r="J41" s="27"/>
      <c r="K41" s="27"/>
      <c r="L41" s="25">
        <f t="shared" si="6"/>
        <v>0</v>
      </c>
      <c r="M41" s="27"/>
      <c r="N41" s="27"/>
      <c r="O41" s="27"/>
      <c r="P41" s="23">
        <f t="shared" si="4"/>
        <v>0</v>
      </c>
      <c r="Q41" s="17"/>
      <c r="R41" s="141"/>
      <c r="S41" s="141"/>
      <c r="T41" s="74"/>
    </row>
    <row r="42" spans="1:20" s="6" customFormat="1" ht="40.5" hidden="1">
      <c r="A42" s="20"/>
      <c r="B42" s="20"/>
      <c r="C42" s="20"/>
      <c r="D42" s="22" t="s">
        <v>552</v>
      </c>
      <c r="E42" s="27"/>
      <c r="F42" s="26">
        <f t="shared" si="5"/>
        <v>0</v>
      </c>
      <c r="G42" s="27"/>
      <c r="H42" s="27"/>
      <c r="I42" s="27"/>
      <c r="J42" s="27"/>
      <c r="K42" s="27"/>
      <c r="L42" s="25">
        <f t="shared" si="6"/>
        <v>0</v>
      </c>
      <c r="M42" s="27"/>
      <c r="N42" s="27"/>
      <c r="O42" s="27"/>
      <c r="P42" s="23">
        <f t="shared" si="4"/>
        <v>0</v>
      </c>
      <c r="Q42" s="17"/>
      <c r="R42" s="141"/>
      <c r="S42" s="141"/>
      <c r="T42" s="74"/>
    </row>
    <row r="43" spans="1:20" s="6" customFormat="1" ht="27" hidden="1">
      <c r="A43" s="20"/>
      <c r="B43" s="20"/>
      <c r="C43" s="20"/>
      <c r="D43" s="22" t="s">
        <v>109</v>
      </c>
      <c r="E43" s="27"/>
      <c r="F43" s="26">
        <f t="shared" si="5"/>
        <v>0</v>
      </c>
      <c r="G43" s="27"/>
      <c r="H43" s="27"/>
      <c r="I43" s="27"/>
      <c r="J43" s="27"/>
      <c r="K43" s="27"/>
      <c r="L43" s="25">
        <f t="shared" si="6"/>
        <v>0</v>
      </c>
      <c r="M43" s="27"/>
      <c r="N43" s="27"/>
      <c r="O43" s="27"/>
      <c r="P43" s="23">
        <f t="shared" si="4"/>
        <v>0</v>
      </c>
      <c r="Q43" s="17"/>
      <c r="R43" s="141"/>
      <c r="S43" s="141"/>
      <c r="T43" s="74"/>
    </row>
    <row r="44" spans="1:20" s="6" customFormat="1" ht="52.15" hidden="1" customHeight="1">
      <c r="A44" s="20"/>
      <c r="B44" s="20"/>
      <c r="C44" s="20"/>
      <c r="D44" s="22" t="s">
        <v>110</v>
      </c>
      <c r="E44" s="27"/>
      <c r="F44" s="26">
        <f t="shared" si="5"/>
        <v>0</v>
      </c>
      <c r="G44" s="26"/>
      <c r="H44" s="27"/>
      <c r="I44" s="27"/>
      <c r="J44" s="27"/>
      <c r="K44" s="27"/>
      <c r="L44" s="25">
        <f t="shared" si="6"/>
        <v>0</v>
      </c>
      <c r="M44" s="27"/>
      <c r="N44" s="27"/>
      <c r="O44" s="27"/>
      <c r="P44" s="23">
        <f t="shared" si="4"/>
        <v>0</v>
      </c>
      <c r="Q44" s="17"/>
      <c r="R44" s="141"/>
      <c r="S44" s="141"/>
      <c r="T44" s="74"/>
    </row>
    <row r="45" spans="1:20" s="6" customFormat="1" ht="24" hidden="1" customHeight="1">
      <c r="A45" s="20" t="s">
        <v>9</v>
      </c>
      <c r="B45" s="20" t="s">
        <v>474</v>
      </c>
      <c r="C45" s="20" t="s">
        <v>38</v>
      </c>
      <c r="D45" s="21" t="s">
        <v>108</v>
      </c>
      <c r="E45" s="27"/>
      <c r="F45" s="26">
        <f t="shared" si="5"/>
        <v>0</v>
      </c>
      <c r="G45" s="23"/>
      <c r="H45" s="23"/>
      <c r="I45" s="23"/>
      <c r="J45" s="23"/>
      <c r="K45" s="23"/>
      <c r="L45" s="25">
        <f t="shared" si="6"/>
        <v>0</v>
      </c>
      <c r="M45" s="23"/>
      <c r="N45" s="23"/>
      <c r="O45" s="23"/>
      <c r="P45" s="23">
        <f t="shared" si="4"/>
        <v>0</v>
      </c>
      <c r="Q45" s="17"/>
      <c r="R45" s="459"/>
      <c r="S45" s="459"/>
      <c r="T45" s="74"/>
    </row>
    <row r="46" spans="1:20" s="6" customFormat="1" ht="24.75" customHeight="1">
      <c r="A46" s="20" t="s">
        <v>9</v>
      </c>
      <c r="B46" s="20" t="s">
        <v>474</v>
      </c>
      <c r="C46" s="20" t="s">
        <v>38</v>
      </c>
      <c r="D46" s="21" t="s">
        <v>108</v>
      </c>
      <c r="E46" s="27">
        <f>1403320+45000+60000</f>
        <v>1508320</v>
      </c>
      <c r="F46" s="26">
        <f t="shared" si="5"/>
        <v>1508320</v>
      </c>
      <c r="G46" s="23"/>
      <c r="H46" s="23"/>
      <c r="I46" s="23"/>
      <c r="J46" s="23"/>
      <c r="K46" s="23"/>
      <c r="L46" s="25"/>
      <c r="M46" s="23"/>
      <c r="N46" s="23"/>
      <c r="O46" s="23"/>
      <c r="P46" s="23">
        <f t="shared" si="4"/>
        <v>1508320</v>
      </c>
      <c r="Q46" s="17"/>
      <c r="R46" s="459"/>
      <c r="S46" s="459"/>
      <c r="T46" s="74"/>
    </row>
    <row r="47" spans="1:20" s="6" customFormat="1" ht="16.5" customHeight="1">
      <c r="A47" s="20"/>
      <c r="B47" s="20"/>
      <c r="C47" s="20"/>
      <c r="D47" s="22" t="s">
        <v>413</v>
      </c>
      <c r="E47" s="27">
        <f>E46-E48</f>
        <v>1266280</v>
      </c>
      <c r="F47" s="26">
        <f t="shared" si="5"/>
        <v>1266280</v>
      </c>
      <c r="G47" s="23"/>
      <c r="H47" s="23"/>
      <c r="I47" s="23"/>
      <c r="J47" s="23"/>
      <c r="K47" s="23"/>
      <c r="L47" s="25"/>
      <c r="M47" s="23"/>
      <c r="N47" s="23"/>
      <c r="O47" s="23"/>
      <c r="P47" s="23">
        <f t="shared" si="4"/>
        <v>1266280</v>
      </c>
      <c r="Q47" s="17"/>
      <c r="R47" s="459"/>
      <c r="S47" s="459"/>
      <c r="T47" s="74"/>
    </row>
    <row r="48" spans="1:20" s="6" customFormat="1" ht="26.25" customHeight="1">
      <c r="A48" s="20"/>
      <c r="B48" s="20"/>
      <c r="C48" s="20"/>
      <c r="D48" s="22" t="s">
        <v>524</v>
      </c>
      <c r="E48" s="27">
        <f>182040+60000</f>
        <v>242040</v>
      </c>
      <c r="F48" s="26">
        <f t="shared" si="5"/>
        <v>242040</v>
      </c>
      <c r="G48" s="23"/>
      <c r="H48" s="23"/>
      <c r="I48" s="23"/>
      <c r="J48" s="23"/>
      <c r="K48" s="23"/>
      <c r="L48" s="25"/>
      <c r="M48" s="23"/>
      <c r="N48" s="23"/>
      <c r="O48" s="23"/>
      <c r="P48" s="23">
        <f t="shared" si="4"/>
        <v>242040</v>
      </c>
      <c r="Q48" s="17"/>
      <c r="R48" s="459"/>
      <c r="S48" s="459"/>
      <c r="T48" s="74"/>
    </row>
    <row r="49" spans="1:20" s="6" customFormat="1" ht="27.75" customHeight="1">
      <c r="A49" s="20" t="s">
        <v>565</v>
      </c>
      <c r="B49" s="20" t="s">
        <v>566</v>
      </c>
      <c r="C49" s="20" t="s">
        <v>51</v>
      </c>
      <c r="D49" s="238" t="s">
        <v>567</v>
      </c>
      <c r="E49" s="27">
        <v>182000</v>
      </c>
      <c r="F49" s="26">
        <f t="shared" si="5"/>
        <v>182000</v>
      </c>
      <c r="G49" s="23"/>
      <c r="H49" s="23"/>
      <c r="I49" s="23"/>
      <c r="J49" s="23"/>
      <c r="K49" s="23"/>
      <c r="L49" s="25"/>
      <c r="M49" s="23"/>
      <c r="N49" s="23"/>
      <c r="O49" s="23"/>
      <c r="P49" s="23">
        <f t="shared" si="4"/>
        <v>182000</v>
      </c>
      <c r="Q49" s="17"/>
      <c r="R49" s="459"/>
      <c r="S49" s="459"/>
      <c r="T49" s="74"/>
    </row>
    <row r="50" spans="1:20" s="6" customFormat="1" ht="40.15" customHeight="1">
      <c r="A50" s="20" t="s">
        <v>414</v>
      </c>
      <c r="B50" s="20" t="s">
        <v>467</v>
      </c>
      <c r="C50" s="20" t="s">
        <v>50</v>
      </c>
      <c r="D50" s="21" t="s">
        <v>466</v>
      </c>
      <c r="E50" s="27">
        <v>1009520</v>
      </c>
      <c r="F50" s="26">
        <f t="shared" ref="F50:F79" si="7">E50-I50</f>
        <v>1009520</v>
      </c>
      <c r="G50" s="23"/>
      <c r="H50" s="23"/>
      <c r="I50" s="23"/>
      <c r="J50" s="23"/>
      <c r="K50" s="23"/>
      <c r="L50" s="25"/>
      <c r="M50" s="23"/>
      <c r="N50" s="23"/>
      <c r="O50" s="23"/>
      <c r="P50" s="23">
        <f t="shared" si="4"/>
        <v>1009520</v>
      </c>
      <c r="Q50" s="17"/>
      <c r="R50" s="459"/>
      <c r="S50" s="459"/>
      <c r="T50" s="74"/>
    </row>
    <row r="51" spans="1:20" s="6" customFormat="1" ht="16.899999999999999" customHeight="1">
      <c r="A51" s="20"/>
      <c r="B51" s="20"/>
      <c r="C51" s="20"/>
      <c r="D51" s="21" t="s">
        <v>93</v>
      </c>
      <c r="E51" s="27">
        <f>E50</f>
        <v>1009520</v>
      </c>
      <c r="F51" s="26">
        <f t="shared" si="7"/>
        <v>1009520</v>
      </c>
      <c r="G51" s="23"/>
      <c r="H51" s="23"/>
      <c r="I51" s="23"/>
      <c r="J51" s="23"/>
      <c r="K51" s="23"/>
      <c r="L51" s="25"/>
      <c r="M51" s="23"/>
      <c r="N51" s="23"/>
      <c r="O51" s="23"/>
      <c r="P51" s="23">
        <f t="shared" si="4"/>
        <v>1009520</v>
      </c>
      <c r="Q51" s="17"/>
      <c r="R51" s="459"/>
      <c r="S51" s="459"/>
      <c r="T51" s="74"/>
    </row>
    <row r="52" spans="1:20" s="6" customFormat="1" ht="30.75" customHeight="1">
      <c r="A52" s="20" t="s">
        <v>415</v>
      </c>
      <c r="B52" s="20" t="s">
        <v>515</v>
      </c>
      <c r="C52" s="20" t="s">
        <v>49</v>
      </c>
      <c r="D52" s="21" t="s">
        <v>532</v>
      </c>
      <c r="E52" s="27">
        <v>16872</v>
      </c>
      <c r="F52" s="26">
        <f t="shared" si="7"/>
        <v>16872</v>
      </c>
      <c r="G52" s="23"/>
      <c r="H52" s="23"/>
      <c r="I52" s="23"/>
      <c r="J52" s="23"/>
      <c r="K52" s="23"/>
      <c r="L52" s="25"/>
      <c r="M52" s="23"/>
      <c r="N52" s="23"/>
      <c r="O52" s="23"/>
      <c r="P52" s="23">
        <f t="shared" si="4"/>
        <v>16872</v>
      </c>
      <c r="Q52" s="17"/>
      <c r="R52" s="459"/>
      <c r="S52" s="459"/>
      <c r="T52" s="74"/>
    </row>
    <row r="53" spans="1:20" s="6" customFormat="1" ht="18.600000000000001" customHeight="1">
      <c r="A53" s="20"/>
      <c r="B53" s="20"/>
      <c r="C53" s="20"/>
      <c r="D53" s="21" t="s">
        <v>93</v>
      </c>
      <c r="E53" s="27">
        <f>E52</f>
        <v>16872</v>
      </c>
      <c r="F53" s="26">
        <f t="shared" si="7"/>
        <v>16872</v>
      </c>
      <c r="G53" s="23"/>
      <c r="H53" s="23"/>
      <c r="I53" s="23"/>
      <c r="J53" s="23"/>
      <c r="K53" s="23"/>
      <c r="L53" s="25"/>
      <c r="M53" s="23"/>
      <c r="N53" s="23"/>
      <c r="O53" s="23"/>
      <c r="P53" s="23">
        <f t="shared" si="4"/>
        <v>16872</v>
      </c>
      <c r="Q53" s="17"/>
      <c r="R53" s="459"/>
      <c r="S53" s="459"/>
      <c r="T53" s="74"/>
    </row>
    <row r="54" spans="1:20" s="6" customFormat="1" ht="54.75" customHeight="1">
      <c r="A54" s="20" t="s">
        <v>416</v>
      </c>
      <c r="B54" s="20" t="s">
        <v>517</v>
      </c>
      <c r="C54" s="20" t="s">
        <v>54</v>
      </c>
      <c r="D54" s="22" t="s">
        <v>533</v>
      </c>
      <c r="E54" s="27">
        <f>7966100+215000+153000+65000+90000+215260+229900</f>
        <v>8934260</v>
      </c>
      <c r="F54" s="26">
        <f t="shared" si="7"/>
        <v>8934260</v>
      </c>
      <c r="G54" s="23">
        <f>4966000+162000+121000</f>
        <v>5249000</v>
      </c>
      <c r="H54" s="23">
        <f>1006100+108000+4000+63100</f>
        <v>1181200</v>
      </c>
      <c r="I54" s="23"/>
      <c r="J54" s="23">
        <f>618000+95000+267000</f>
        <v>980000</v>
      </c>
      <c r="K54" s="23">
        <f>95000+267000</f>
        <v>362000</v>
      </c>
      <c r="L54" s="25">
        <f t="shared" si="6"/>
        <v>618000</v>
      </c>
      <c r="M54" s="23"/>
      <c r="N54" s="23"/>
      <c r="O54" s="23">
        <f>95000+267000</f>
        <v>362000</v>
      </c>
      <c r="P54" s="23">
        <f t="shared" si="4"/>
        <v>9914260</v>
      </c>
      <c r="Q54" s="17"/>
      <c r="R54" s="459"/>
      <c r="S54" s="459"/>
      <c r="T54" s="74"/>
    </row>
    <row r="55" spans="1:20" s="6" customFormat="1" ht="24" hidden="1" customHeight="1">
      <c r="A55" s="20"/>
      <c r="B55" s="20"/>
      <c r="C55" s="20"/>
      <c r="D55" s="22" t="s">
        <v>412</v>
      </c>
      <c r="E55" s="27">
        <f>E54-E56</f>
        <v>8934260</v>
      </c>
      <c r="F55" s="26">
        <f t="shared" si="7"/>
        <v>8934260</v>
      </c>
      <c r="G55" s="27">
        <f>G54-G56</f>
        <v>5249000</v>
      </c>
      <c r="H55" s="27">
        <f>H54-H56</f>
        <v>1181200</v>
      </c>
      <c r="I55" s="23"/>
      <c r="J55" s="27">
        <f>J54-J56</f>
        <v>980000</v>
      </c>
      <c r="K55" s="27"/>
      <c r="L55" s="27">
        <f>L54-L56</f>
        <v>618000</v>
      </c>
      <c r="M55" s="23"/>
      <c r="N55" s="23"/>
      <c r="O55" s="27"/>
      <c r="P55" s="23">
        <f t="shared" si="4"/>
        <v>9914260</v>
      </c>
      <c r="Q55" s="17"/>
      <c r="R55" s="141"/>
      <c r="S55" s="141"/>
      <c r="T55" s="74"/>
    </row>
    <row r="56" spans="1:20" s="6" customFormat="1" ht="27.2" hidden="1" customHeight="1">
      <c r="A56" s="20"/>
      <c r="B56" s="20"/>
      <c r="C56" s="20"/>
      <c r="D56" s="22" t="s">
        <v>524</v>
      </c>
      <c r="E56" s="27"/>
      <c r="F56" s="26">
        <f t="shared" si="7"/>
        <v>0</v>
      </c>
      <c r="G56" s="23"/>
      <c r="H56" s="23"/>
      <c r="I56" s="23"/>
      <c r="J56" s="23"/>
      <c r="K56" s="23"/>
      <c r="L56" s="25"/>
      <c r="M56" s="23"/>
      <c r="N56" s="23"/>
      <c r="O56" s="23"/>
      <c r="P56" s="23">
        <f t="shared" si="4"/>
        <v>0</v>
      </c>
      <c r="Q56" s="17"/>
      <c r="R56" s="459"/>
      <c r="S56" s="459"/>
      <c r="T56" s="74"/>
    </row>
    <row r="57" spans="1:20" s="6" customFormat="1" ht="27.2" customHeight="1">
      <c r="A57" s="20" t="s">
        <v>417</v>
      </c>
      <c r="B57" s="20" t="s">
        <v>516</v>
      </c>
      <c r="C57" s="20" t="s">
        <v>53</v>
      </c>
      <c r="D57" s="22" t="s">
        <v>534</v>
      </c>
      <c r="E57" s="27">
        <v>1718392</v>
      </c>
      <c r="F57" s="26">
        <f t="shared" si="7"/>
        <v>1718392</v>
      </c>
      <c r="G57" s="23">
        <v>1211636</v>
      </c>
      <c r="H57" s="23">
        <v>86878</v>
      </c>
      <c r="I57" s="23"/>
      <c r="J57" s="23"/>
      <c r="K57" s="23"/>
      <c r="L57" s="25"/>
      <c r="M57" s="23"/>
      <c r="N57" s="23"/>
      <c r="O57" s="23"/>
      <c r="P57" s="23">
        <f t="shared" si="4"/>
        <v>1718392</v>
      </c>
      <c r="Q57" s="17"/>
      <c r="R57" s="459"/>
      <c r="S57" s="459"/>
      <c r="T57" s="74"/>
    </row>
    <row r="58" spans="1:20" s="6" customFormat="1" ht="27.6" customHeight="1">
      <c r="A58" s="20" t="s">
        <v>10</v>
      </c>
      <c r="B58" s="20" t="s">
        <v>463</v>
      </c>
      <c r="C58" s="20" t="s">
        <v>39</v>
      </c>
      <c r="D58" s="21" t="s">
        <v>462</v>
      </c>
      <c r="E58" s="27">
        <f>18000+23000</f>
        <v>41000</v>
      </c>
      <c r="F58" s="26">
        <f t="shared" si="7"/>
        <v>41000</v>
      </c>
      <c r="G58" s="23"/>
      <c r="H58" s="23"/>
      <c r="I58" s="23"/>
      <c r="J58" s="23"/>
      <c r="K58" s="23"/>
      <c r="L58" s="25"/>
      <c r="M58" s="23"/>
      <c r="N58" s="23"/>
      <c r="O58" s="23"/>
      <c r="P58" s="23">
        <f t="shared" si="4"/>
        <v>41000</v>
      </c>
      <c r="Q58" s="17"/>
      <c r="R58" s="459"/>
      <c r="S58" s="459"/>
      <c r="T58" s="74"/>
    </row>
    <row r="59" spans="1:20" s="6" customFormat="1" ht="31.5" customHeight="1">
      <c r="A59" s="20" t="s">
        <v>11</v>
      </c>
      <c r="B59" s="20" t="s">
        <v>475</v>
      </c>
      <c r="C59" s="20" t="s">
        <v>39</v>
      </c>
      <c r="D59" s="21" t="s">
        <v>374</v>
      </c>
      <c r="E59" s="27">
        <f>1480769+16000+50000</f>
        <v>1546769</v>
      </c>
      <c r="F59" s="26">
        <f t="shared" si="7"/>
        <v>1546769</v>
      </c>
      <c r="G59" s="27">
        <f>1149569+19085+50000</f>
        <v>1218654</v>
      </c>
      <c r="H59" s="23">
        <f>43195+300</f>
        <v>43495</v>
      </c>
      <c r="I59" s="23"/>
      <c r="J59" s="23"/>
      <c r="K59" s="23"/>
      <c r="L59" s="25"/>
      <c r="M59" s="23"/>
      <c r="N59" s="23"/>
      <c r="O59" s="23"/>
      <c r="P59" s="23">
        <f t="shared" si="4"/>
        <v>1546769</v>
      </c>
      <c r="Q59" s="17"/>
      <c r="R59" s="459"/>
      <c r="S59" s="459"/>
      <c r="T59" s="74"/>
    </row>
    <row r="60" spans="1:20" s="6" customFormat="1" ht="40.9" customHeight="1">
      <c r="A60" s="20" t="s">
        <v>12</v>
      </c>
      <c r="B60" s="20" t="s">
        <v>464</v>
      </c>
      <c r="C60" s="20" t="s">
        <v>39</v>
      </c>
      <c r="D60" s="21" t="s">
        <v>457</v>
      </c>
      <c r="E60" s="27">
        <v>27000</v>
      </c>
      <c r="F60" s="26">
        <f t="shared" si="7"/>
        <v>27000</v>
      </c>
      <c r="G60" s="23"/>
      <c r="H60" s="23"/>
      <c r="I60" s="23"/>
      <c r="J60" s="23"/>
      <c r="K60" s="23"/>
      <c r="L60" s="25"/>
      <c r="M60" s="23"/>
      <c r="N60" s="23"/>
      <c r="O60" s="23"/>
      <c r="P60" s="23">
        <f t="shared" si="4"/>
        <v>27000</v>
      </c>
      <c r="Q60" s="17"/>
      <c r="R60" s="459"/>
      <c r="S60" s="459"/>
      <c r="T60" s="74"/>
    </row>
    <row r="61" spans="1:20" s="6" customFormat="1" ht="73.150000000000006" customHeight="1">
      <c r="A61" s="20" t="s">
        <v>563</v>
      </c>
      <c r="B61" s="20" t="s">
        <v>569</v>
      </c>
      <c r="C61" s="20" t="s">
        <v>53</v>
      </c>
      <c r="D61" s="21" t="s">
        <v>570</v>
      </c>
      <c r="E61" s="27">
        <f>93204+56800</f>
        <v>150004</v>
      </c>
      <c r="F61" s="26">
        <f t="shared" si="7"/>
        <v>150004</v>
      </c>
      <c r="G61" s="23"/>
      <c r="H61" s="23"/>
      <c r="I61" s="23"/>
      <c r="J61" s="23"/>
      <c r="K61" s="23"/>
      <c r="L61" s="25"/>
      <c r="M61" s="23"/>
      <c r="N61" s="23"/>
      <c r="O61" s="23"/>
      <c r="P61" s="23">
        <f t="shared" si="4"/>
        <v>150004</v>
      </c>
      <c r="Q61" s="17"/>
      <c r="R61" s="459"/>
      <c r="S61" s="459"/>
      <c r="T61" s="74"/>
    </row>
    <row r="62" spans="1:20" s="6" customFormat="1" ht="49.9" customHeight="1">
      <c r="A62" s="20" t="s">
        <v>418</v>
      </c>
      <c r="B62" s="20" t="s">
        <v>478</v>
      </c>
      <c r="C62" s="20" t="s">
        <v>53</v>
      </c>
      <c r="D62" s="22" t="s">
        <v>536</v>
      </c>
      <c r="E62" s="27">
        <v>21065</v>
      </c>
      <c r="F62" s="26">
        <f t="shared" si="7"/>
        <v>21065</v>
      </c>
      <c r="G62" s="23"/>
      <c r="H62" s="23"/>
      <c r="I62" s="23"/>
      <c r="J62" s="23"/>
      <c r="K62" s="23"/>
      <c r="L62" s="25"/>
      <c r="M62" s="23"/>
      <c r="N62" s="23"/>
      <c r="O62" s="23"/>
      <c r="P62" s="23">
        <f t="shared" si="4"/>
        <v>21065</v>
      </c>
      <c r="Q62" s="17"/>
      <c r="R62" s="459"/>
      <c r="S62" s="459"/>
      <c r="T62" s="74"/>
    </row>
    <row r="63" spans="1:20" s="6" customFormat="1" ht="20.45" customHeight="1">
      <c r="A63" s="20"/>
      <c r="B63" s="20"/>
      <c r="C63" s="20"/>
      <c r="D63" s="22" t="s">
        <v>93</v>
      </c>
      <c r="E63" s="27">
        <f>E62</f>
        <v>21065</v>
      </c>
      <c r="F63" s="26">
        <f t="shared" si="7"/>
        <v>21065</v>
      </c>
      <c r="G63" s="23"/>
      <c r="H63" s="23"/>
      <c r="I63" s="23"/>
      <c r="J63" s="23"/>
      <c r="K63" s="23"/>
      <c r="L63" s="25"/>
      <c r="M63" s="23"/>
      <c r="N63" s="23"/>
      <c r="O63" s="23"/>
      <c r="P63" s="23">
        <f t="shared" si="4"/>
        <v>21065</v>
      </c>
      <c r="Q63" s="17"/>
      <c r="R63" s="459"/>
      <c r="S63" s="459"/>
      <c r="T63" s="74"/>
    </row>
    <row r="64" spans="1:20" s="6" customFormat="1" ht="39" customHeight="1">
      <c r="A64" s="20" t="s">
        <v>419</v>
      </c>
      <c r="B64" s="20" t="s">
        <v>479</v>
      </c>
      <c r="C64" s="20" t="s">
        <v>49</v>
      </c>
      <c r="D64" s="22" t="s">
        <v>375</v>
      </c>
      <c r="E64" s="27">
        <v>114000</v>
      </c>
      <c r="F64" s="26">
        <f t="shared" si="7"/>
        <v>114000</v>
      </c>
      <c r="G64" s="23"/>
      <c r="H64" s="23"/>
      <c r="I64" s="23"/>
      <c r="J64" s="23"/>
      <c r="K64" s="23"/>
      <c r="L64" s="25"/>
      <c r="M64" s="23"/>
      <c r="N64" s="23"/>
      <c r="O64" s="23"/>
      <c r="P64" s="23">
        <f t="shared" si="4"/>
        <v>114000</v>
      </c>
      <c r="Q64" s="17"/>
      <c r="R64" s="459"/>
      <c r="S64" s="459"/>
      <c r="T64" s="74"/>
    </row>
    <row r="65" spans="1:20" s="6" customFormat="1" ht="39.75" customHeight="1">
      <c r="A65" s="20" t="s">
        <v>166</v>
      </c>
      <c r="B65" s="20" t="s">
        <v>167</v>
      </c>
      <c r="C65" s="20"/>
      <c r="D65" s="22" t="s">
        <v>168</v>
      </c>
      <c r="E65" s="27">
        <f>180000+49594+59000+108200+18000+17300</f>
        <v>432094</v>
      </c>
      <c r="F65" s="26">
        <f t="shared" si="7"/>
        <v>432094</v>
      </c>
      <c r="G65" s="23"/>
      <c r="H65" s="23">
        <v>4000</v>
      </c>
      <c r="I65" s="23"/>
      <c r="J65" s="23"/>
      <c r="K65" s="23"/>
      <c r="L65" s="25"/>
      <c r="M65" s="23"/>
      <c r="N65" s="23"/>
      <c r="O65" s="23"/>
      <c r="P65" s="23">
        <f t="shared" si="4"/>
        <v>432094</v>
      </c>
      <c r="Q65" s="17"/>
      <c r="R65" s="459"/>
      <c r="S65" s="459"/>
      <c r="T65" s="74"/>
    </row>
    <row r="66" spans="1:20" s="6" customFormat="1" ht="30" customHeight="1">
      <c r="A66" s="20" t="s">
        <v>420</v>
      </c>
      <c r="B66" s="20" t="s">
        <v>480</v>
      </c>
      <c r="C66" s="20" t="s">
        <v>52</v>
      </c>
      <c r="D66" s="21" t="s">
        <v>537</v>
      </c>
      <c r="E66" s="27">
        <f>1100000+295000+150000+575000+200000+350000+49000+100000+50000</f>
        <v>2869000</v>
      </c>
      <c r="F66" s="26">
        <f t="shared" si="7"/>
        <v>2869000</v>
      </c>
      <c r="G66" s="23"/>
      <c r="H66" s="23"/>
      <c r="I66" s="23"/>
      <c r="J66" s="27"/>
      <c r="K66" s="27"/>
      <c r="L66" s="25"/>
      <c r="M66" s="23"/>
      <c r="N66" s="23"/>
      <c r="O66" s="27"/>
      <c r="P66" s="23">
        <f t="shared" si="4"/>
        <v>2869000</v>
      </c>
      <c r="Q66" s="17"/>
      <c r="R66" s="141"/>
      <c r="S66" s="141"/>
      <c r="T66" s="74"/>
    </row>
    <row r="67" spans="1:20" s="6" customFormat="1" ht="17.25" customHeight="1">
      <c r="A67" s="20"/>
      <c r="B67" s="20"/>
      <c r="C67" s="66"/>
      <c r="D67" s="21" t="s">
        <v>93</v>
      </c>
      <c r="E67" s="27">
        <f>250000+150000+175000+100000+50000</f>
        <v>725000</v>
      </c>
      <c r="F67" s="26">
        <f t="shared" si="7"/>
        <v>725000</v>
      </c>
      <c r="G67" s="23"/>
      <c r="H67" s="23"/>
      <c r="I67" s="23"/>
      <c r="J67" s="27"/>
      <c r="K67" s="27"/>
      <c r="L67" s="25"/>
      <c r="M67" s="23"/>
      <c r="N67" s="23"/>
      <c r="O67" s="27"/>
      <c r="P67" s="23">
        <f t="shared" si="4"/>
        <v>725000</v>
      </c>
      <c r="Q67" s="17"/>
      <c r="R67" s="141"/>
      <c r="S67" s="141"/>
      <c r="T67" s="74"/>
    </row>
    <row r="68" spans="1:20" s="6" customFormat="1" ht="18.75" customHeight="1">
      <c r="A68" s="20" t="s">
        <v>173</v>
      </c>
      <c r="B68" s="20" t="s">
        <v>484</v>
      </c>
      <c r="C68" s="66" t="s">
        <v>47</v>
      </c>
      <c r="D68" s="200" t="s">
        <v>542</v>
      </c>
      <c r="E68" s="27">
        <f>37000+2900</f>
        <v>39900</v>
      </c>
      <c r="F68" s="26">
        <f t="shared" si="7"/>
        <v>39900</v>
      </c>
      <c r="G68" s="23"/>
      <c r="H68" s="23"/>
      <c r="I68" s="23"/>
      <c r="J68" s="27"/>
      <c r="K68" s="27"/>
      <c r="L68" s="25"/>
      <c r="M68" s="23"/>
      <c r="N68" s="23"/>
      <c r="O68" s="27"/>
      <c r="P68" s="23">
        <f t="shared" si="4"/>
        <v>39900</v>
      </c>
      <c r="Q68" s="17"/>
      <c r="R68" s="141"/>
      <c r="S68" s="141"/>
      <c r="T68" s="74"/>
    </row>
    <row r="69" spans="1:20" s="6" customFormat="1" ht="30" customHeight="1">
      <c r="A69" s="20" t="s">
        <v>430</v>
      </c>
      <c r="B69" s="20" t="s">
        <v>431</v>
      </c>
      <c r="C69" s="66" t="s">
        <v>432</v>
      </c>
      <c r="D69" s="200" t="s">
        <v>433</v>
      </c>
      <c r="E69" s="27">
        <f>92504+106826+81337+71804</f>
        <v>352471</v>
      </c>
      <c r="F69" s="26">
        <f t="shared" si="7"/>
        <v>352471</v>
      </c>
      <c r="G69" s="23"/>
      <c r="H69" s="23"/>
      <c r="I69" s="23"/>
      <c r="J69" s="27"/>
      <c r="K69" s="27"/>
      <c r="L69" s="25"/>
      <c r="M69" s="23"/>
      <c r="N69" s="23"/>
      <c r="O69" s="27"/>
      <c r="P69" s="23">
        <f t="shared" ref="P69:P96" si="8">E69+J69</f>
        <v>352471</v>
      </c>
      <c r="Q69" s="17"/>
      <c r="R69" s="141"/>
      <c r="S69" s="141"/>
      <c r="T69" s="74"/>
    </row>
    <row r="70" spans="1:20" s="6" customFormat="1" ht="31.5" customHeight="1">
      <c r="A70" s="20" t="s">
        <v>443</v>
      </c>
      <c r="B70" s="20" t="s">
        <v>427</v>
      </c>
      <c r="C70" s="20" t="s">
        <v>450</v>
      </c>
      <c r="D70" s="201" t="s">
        <v>428</v>
      </c>
      <c r="E70" s="27">
        <f>300000+450000+799609+416345+200000+924700</f>
        <v>3090654</v>
      </c>
      <c r="F70" s="26">
        <f t="shared" si="7"/>
        <v>3090654</v>
      </c>
      <c r="G70" s="23"/>
      <c r="H70" s="23"/>
      <c r="I70" s="23"/>
      <c r="J70" s="27">
        <f>2887680+650000+796945</f>
        <v>4334625</v>
      </c>
      <c r="K70" s="27">
        <f>2887680+650000+796945</f>
        <v>4334625</v>
      </c>
      <c r="L70" s="25"/>
      <c r="M70" s="23"/>
      <c r="N70" s="23"/>
      <c r="O70" s="27">
        <f>2887680+650000+796945</f>
        <v>4334625</v>
      </c>
      <c r="P70" s="23">
        <f t="shared" si="8"/>
        <v>7425279</v>
      </c>
      <c r="Q70" s="17"/>
      <c r="R70" s="141"/>
      <c r="S70" s="141"/>
      <c r="T70" s="74"/>
    </row>
    <row r="71" spans="1:20" s="6" customFormat="1" ht="51.6" customHeight="1">
      <c r="A71" s="20" t="s">
        <v>444</v>
      </c>
      <c r="B71" s="20" t="s">
        <v>429</v>
      </c>
      <c r="C71" s="20" t="s">
        <v>450</v>
      </c>
      <c r="D71" s="201" t="s">
        <v>434</v>
      </c>
      <c r="E71" s="27">
        <f>420120+199500-99500+63000+999300+624466.55+620590-153940</f>
        <v>2673536.5499999998</v>
      </c>
      <c r="F71" s="26">
        <f t="shared" si="7"/>
        <v>2673536.5499999998</v>
      </c>
      <c r="G71" s="23"/>
      <c r="H71" s="23"/>
      <c r="I71" s="23"/>
      <c r="J71" s="27">
        <f>170000+163205+169340</f>
        <v>502545</v>
      </c>
      <c r="K71" s="27">
        <f>170000+163205+169340</f>
        <v>502545</v>
      </c>
      <c r="L71" s="25"/>
      <c r="M71" s="23"/>
      <c r="N71" s="23"/>
      <c r="O71" s="27">
        <f>170000+163205+169340</f>
        <v>502545</v>
      </c>
      <c r="P71" s="23">
        <f t="shared" si="8"/>
        <v>3176081.55</v>
      </c>
      <c r="Q71" s="17"/>
      <c r="R71" s="141"/>
      <c r="S71" s="141"/>
      <c r="T71" s="74"/>
    </row>
    <row r="72" spans="1:20" s="6" customFormat="1" ht="23.25" customHeight="1">
      <c r="A72" s="20" t="s">
        <v>445</v>
      </c>
      <c r="B72" s="20" t="s">
        <v>435</v>
      </c>
      <c r="C72" s="20" t="s">
        <v>450</v>
      </c>
      <c r="D72" s="201" t="s">
        <v>436</v>
      </c>
      <c r="E72" s="27">
        <f>16632839+3400000+116600+865096+1382591+482700+94500.45+221018+334733</f>
        <v>23530077.449999999</v>
      </c>
      <c r="F72" s="26">
        <f t="shared" si="7"/>
        <v>23530077.449999999</v>
      </c>
      <c r="G72" s="23">
        <f>3600000+2500000+350000</f>
        <v>6450000</v>
      </c>
      <c r="H72" s="23">
        <v>8400516</v>
      </c>
      <c r="I72" s="23"/>
      <c r="J72" s="27">
        <f>108000+140000+100000+420000+8000+460892+3521000</f>
        <v>4757892</v>
      </c>
      <c r="K72" s="27">
        <f>108000+140000+100000+420000+8000+460892+3521000</f>
        <v>4757892</v>
      </c>
      <c r="L72" s="25"/>
      <c r="M72" s="23"/>
      <c r="N72" s="23"/>
      <c r="O72" s="27">
        <f>108000+140000+100000+420000+8000+460892+3521000</f>
        <v>4757892</v>
      </c>
      <c r="P72" s="23">
        <f t="shared" si="8"/>
        <v>28287969.449999999</v>
      </c>
      <c r="Q72" s="17"/>
      <c r="R72" s="141"/>
      <c r="S72" s="141"/>
      <c r="T72" s="74"/>
    </row>
    <row r="73" spans="1:20" s="6" customFormat="1" ht="20.25" customHeight="1">
      <c r="A73" s="20" t="s">
        <v>447</v>
      </c>
      <c r="B73" s="20" t="s">
        <v>437</v>
      </c>
      <c r="C73" s="20" t="s">
        <v>450</v>
      </c>
      <c r="D73" s="201" t="s">
        <v>438</v>
      </c>
      <c r="E73" s="27">
        <v>360000</v>
      </c>
      <c r="F73" s="26">
        <f t="shared" si="7"/>
        <v>360000</v>
      </c>
      <c r="G73" s="23"/>
      <c r="H73" s="23"/>
      <c r="I73" s="23"/>
      <c r="J73" s="27"/>
      <c r="K73" s="27"/>
      <c r="L73" s="25"/>
      <c r="M73" s="23"/>
      <c r="N73" s="23"/>
      <c r="O73" s="27"/>
      <c r="P73" s="23">
        <f t="shared" si="8"/>
        <v>360000</v>
      </c>
      <c r="Q73" s="17"/>
      <c r="R73" s="141"/>
      <c r="S73" s="141"/>
      <c r="T73" s="74"/>
    </row>
    <row r="74" spans="1:20" s="6" customFormat="1" ht="90" customHeight="1">
      <c r="A74" s="20" t="s">
        <v>448</v>
      </c>
      <c r="B74" s="20" t="s">
        <v>439</v>
      </c>
      <c r="C74" s="20" t="s">
        <v>451</v>
      </c>
      <c r="D74" s="201" t="s">
        <v>388</v>
      </c>
      <c r="E74" s="27">
        <f>717520+3587600+482000</f>
        <v>4787120</v>
      </c>
      <c r="F74" s="26">
        <f t="shared" si="7"/>
        <v>4787120</v>
      </c>
      <c r="G74" s="23"/>
      <c r="H74" s="23"/>
      <c r="I74" s="23"/>
      <c r="J74" s="27"/>
      <c r="K74" s="27"/>
      <c r="L74" s="25"/>
      <c r="M74" s="23"/>
      <c r="N74" s="23"/>
      <c r="O74" s="27"/>
      <c r="P74" s="23">
        <f t="shared" si="8"/>
        <v>4787120</v>
      </c>
      <c r="Q74" s="17"/>
      <c r="R74" s="141"/>
      <c r="S74" s="141"/>
      <c r="T74" s="74"/>
    </row>
    <row r="75" spans="1:20" s="6" customFormat="1" ht="16.5" customHeight="1">
      <c r="A75" s="20" t="s">
        <v>449</v>
      </c>
      <c r="B75" s="208">
        <v>7130</v>
      </c>
      <c r="C75" s="20" t="s">
        <v>452</v>
      </c>
      <c r="D75" s="201" t="s">
        <v>440</v>
      </c>
      <c r="E75" s="27">
        <f>98000+129500</f>
        <v>227500</v>
      </c>
      <c r="F75" s="26">
        <f t="shared" si="7"/>
        <v>227500</v>
      </c>
      <c r="G75" s="23"/>
      <c r="H75" s="23"/>
      <c r="I75" s="23"/>
      <c r="J75" s="27">
        <f>149900+2000000</f>
        <v>2149900</v>
      </c>
      <c r="K75" s="27">
        <v>2000000</v>
      </c>
      <c r="L75" s="25">
        <v>149900</v>
      </c>
      <c r="M75" s="23"/>
      <c r="N75" s="23"/>
      <c r="O75" s="27">
        <v>2000000</v>
      </c>
      <c r="P75" s="23">
        <f t="shared" si="8"/>
        <v>2377400</v>
      </c>
      <c r="Q75" s="17"/>
      <c r="R75" s="141"/>
      <c r="S75" s="141"/>
      <c r="T75" s="74"/>
    </row>
    <row r="76" spans="1:20" s="6" customFormat="1" ht="25.5" customHeight="1">
      <c r="A76" s="20" t="s">
        <v>689</v>
      </c>
      <c r="B76" s="432">
        <v>7310</v>
      </c>
      <c r="C76" s="20" t="s">
        <v>688</v>
      </c>
      <c r="D76" s="201" t="s">
        <v>690</v>
      </c>
      <c r="E76" s="27"/>
      <c r="F76" s="26"/>
      <c r="G76" s="23"/>
      <c r="H76" s="23"/>
      <c r="I76" s="23"/>
      <c r="J76" s="27">
        <v>364688</v>
      </c>
      <c r="K76" s="27">
        <v>364688</v>
      </c>
      <c r="L76" s="25"/>
      <c r="M76" s="23"/>
      <c r="N76" s="23"/>
      <c r="O76" s="27">
        <v>364688</v>
      </c>
      <c r="P76" s="23">
        <f t="shared" si="8"/>
        <v>364688</v>
      </c>
      <c r="Q76" s="17"/>
      <c r="R76" s="141"/>
      <c r="S76" s="141"/>
      <c r="T76" s="74"/>
    </row>
    <row r="77" spans="1:20" s="6" customFormat="1" ht="16.5" customHeight="1">
      <c r="A77" s="20" t="s">
        <v>686</v>
      </c>
      <c r="B77" s="208">
        <v>7322</v>
      </c>
      <c r="C77" s="20" t="s">
        <v>688</v>
      </c>
      <c r="D77" s="201" t="s">
        <v>685</v>
      </c>
      <c r="E77" s="27"/>
      <c r="F77" s="26"/>
      <c r="G77" s="23"/>
      <c r="H77" s="23"/>
      <c r="I77" s="23"/>
      <c r="J77" s="27">
        <v>4500000</v>
      </c>
      <c r="K77" s="27">
        <v>4500000</v>
      </c>
      <c r="L77" s="25"/>
      <c r="M77" s="23"/>
      <c r="N77" s="23"/>
      <c r="O77" s="27">
        <v>4500000</v>
      </c>
      <c r="P77" s="23">
        <f t="shared" si="8"/>
        <v>4500000</v>
      </c>
      <c r="Q77" s="17"/>
      <c r="R77" s="141"/>
      <c r="S77" s="141"/>
      <c r="T77" s="74"/>
    </row>
    <row r="78" spans="1:20" s="6" customFormat="1" ht="30.75" hidden="1" customHeight="1">
      <c r="A78" s="20" t="s">
        <v>140</v>
      </c>
      <c r="B78" s="208">
        <v>7390</v>
      </c>
      <c r="C78" s="20" t="s">
        <v>526</v>
      </c>
      <c r="D78" s="201" t="s">
        <v>141</v>
      </c>
      <c r="E78" s="27"/>
      <c r="F78" s="26"/>
      <c r="G78" s="23"/>
      <c r="H78" s="23"/>
      <c r="I78" s="23"/>
      <c r="J78" s="27"/>
      <c r="K78" s="27"/>
      <c r="L78" s="25"/>
      <c r="M78" s="23"/>
      <c r="N78" s="23"/>
      <c r="O78" s="27"/>
      <c r="P78" s="23">
        <f t="shared" si="8"/>
        <v>0</v>
      </c>
      <c r="Q78" s="17"/>
      <c r="R78" s="141"/>
      <c r="S78" s="141"/>
      <c r="T78" s="74"/>
    </row>
    <row r="79" spans="1:20" s="6" customFormat="1" ht="16.5" customHeight="1">
      <c r="A79" s="20" t="s">
        <v>399</v>
      </c>
      <c r="B79" s="208">
        <v>7413</v>
      </c>
      <c r="C79" s="20" t="s">
        <v>400</v>
      </c>
      <c r="D79" s="201" t="s">
        <v>401</v>
      </c>
      <c r="E79" s="27">
        <f>49000+49000</f>
        <v>98000</v>
      </c>
      <c r="F79" s="26">
        <f t="shared" si="7"/>
        <v>98000</v>
      </c>
      <c r="G79" s="23"/>
      <c r="H79" s="23"/>
      <c r="I79" s="23"/>
      <c r="J79" s="27"/>
      <c r="K79" s="27"/>
      <c r="L79" s="25"/>
      <c r="M79" s="23"/>
      <c r="N79" s="23"/>
      <c r="O79" s="27"/>
      <c r="P79" s="23">
        <f t="shared" si="8"/>
        <v>98000</v>
      </c>
      <c r="Q79" s="17"/>
      <c r="R79" s="141"/>
      <c r="S79" s="141"/>
      <c r="T79" s="74"/>
    </row>
    <row r="80" spans="1:20" s="6" customFormat="1" ht="39" customHeight="1">
      <c r="A80" s="20" t="s">
        <v>17</v>
      </c>
      <c r="B80" s="20" t="s">
        <v>511</v>
      </c>
      <c r="C80" s="20" t="s">
        <v>16</v>
      </c>
      <c r="D80" s="21" t="s">
        <v>15</v>
      </c>
      <c r="E80" s="27">
        <f>2150000+3000000+1000000+2821000</f>
        <v>8971000</v>
      </c>
      <c r="F80" s="26">
        <f t="shared" ref="F80:F95" si="9">E80-I80</f>
        <v>8971000</v>
      </c>
      <c r="G80" s="23"/>
      <c r="H80" s="23"/>
      <c r="I80" s="23"/>
      <c r="J80" s="23">
        <f>502000+700000+60000+380000</f>
        <v>1642000</v>
      </c>
      <c r="K80" s="23">
        <f>502000+700000+60000+380000</f>
        <v>1642000</v>
      </c>
      <c r="L80" s="25"/>
      <c r="M80" s="23"/>
      <c r="N80" s="23"/>
      <c r="O80" s="23">
        <f>502000+700000+60000+380000</f>
        <v>1642000</v>
      </c>
      <c r="P80" s="23">
        <f t="shared" si="8"/>
        <v>10613000</v>
      </c>
      <c r="Q80" s="17"/>
      <c r="R80" s="459"/>
      <c r="S80" s="459"/>
      <c r="T80" s="74"/>
    </row>
    <row r="81" spans="1:20" s="6" customFormat="1" ht="16.5" customHeight="1">
      <c r="A81" s="20" t="s">
        <v>710</v>
      </c>
      <c r="B81" s="20" t="s">
        <v>712</v>
      </c>
      <c r="C81" s="20" t="s">
        <v>717</v>
      </c>
      <c r="D81" s="21" t="s">
        <v>711</v>
      </c>
      <c r="E81" s="27"/>
      <c r="F81" s="26"/>
      <c r="G81" s="23"/>
      <c r="H81" s="23"/>
      <c r="I81" s="23"/>
      <c r="J81" s="23">
        <v>3000000</v>
      </c>
      <c r="K81" s="23">
        <v>3000000</v>
      </c>
      <c r="L81" s="25"/>
      <c r="M81" s="23"/>
      <c r="N81" s="23"/>
      <c r="O81" s="23">
        <v>3000000</v>
      </c>
      <c r="P81" s="23">
        <f t="shared" si="8"/>
        <v>3000000</v>
      </c>
      <c r="Q81" s="17"/>
      <c r="R81" s="459"/>
      <c r="S81" s="459"/>
      <c r="T81" s="74"/>
    </row>
    <row r="82" spans="1:20" s="6" customFormat="1" ht="33" customHeight="1">
      <c r="A82" s="20" t="s">
        <v>586</v>
      </c>
      <c r="B82" s="20" t="s">
        <v>587</v>
      </c>
      <c r="C82" s="20" t="s">
        <v>526</v>
      </c>
      <c r="D82" s="21" t="s">
        <v>585</v>
      </c>
      <c r="E82" s="27"/>
      <c r="F82" s="26"/>
      <c r="G82" s="23"/>
      <c r="H82" s="23"/>
      <c r="I82" s="23"/>
      <c r="J82" s="23">
        <f>98000+72912+90000</f>
        <v>260912</v>
      </c>
      <c r="K82" s="23">
        <f>98000+72912+90000</f>
        <v>260912</v>
      </c>
      <c r="L82" s="25"/>
      <c r="M82" s="23"/>
      <c r="N82" s="23"/>
      <c r="O82" s="23">
        <f>98000+72912+90000</f>
        <v>260912</v>
      </c>
      <c r="P82" s="23">
        <f t="shared" si="8"/>
        <v>260912</v>
      </c>
      <c r="Q82" s="17"/>
      <c r="R82" s="459"/>
      <c r="S82" s="459"/>
      <c r="T82" s="74"/>
    </row>
    <row r="83" spans="1:20" s="6" customFormat="1" ht="33" customHeight="1">
      <c r="A83" s="20" t="s">
        <v>453</v>
      </c>
      <c r="B83" s="20" t="s">
        <v>441</v>
      </c>
      <c r="C83" s="20" t="s">
        <v>526</v>
      </c>
      <c r="D83" s="21" t="s">
        <v>442</v>
      </c>
      <c r="E83" s="27">
        <v>27000</v>
      </c>
      <c r="F83" s="26">
        <f t="shared" si="9"/>
        <v>27000</v>
      </c>
      <c r="G83" s="23"/>
      <c r="H83" s="23"/>
      <c r="I83" s="23"/>
      <c r="J83" s="23"/>
      <c r="K83" s="23"/>
      <c r="L83" s="25"/>
      <c r="M83" s="23"/>
      <c r="N83" s="23"/>
      <c r="O83" s="23"/>
      <c r="P83" s="23">
        <f t="shared" si="8"/>
        <v>27000</v>
      </c>
      <c r="Q83" s="17"/>
      <c r="R83" s="459"/>
      <c r="S83" s="459"/>
      <c r="T83" s="74"/>
    </row>
    <row r="84" spans="1:20" s="6" customFormat="1" ht="96" customHeight="1">
      <c r="A84" s="20" t="s">
        <v>454</v>
      </c>
      <c r="B84" s="20" t="s">
        <v>469</v>
      </c>
      <c r="C84" s="20" t="s">
        <v>526</v>
      </c>
      <c r="D84" s="21" t="s">
        <v>595</v>
      </c>
      <c r="E84" s="27"/>
      <c r="F84" s="26"/>
      <c r="G84" s="23"/>
      <c r="H84" s="23"/>
      <c r="I84" s="23"/>
      <c r="J84" s="23">
        <f>3000+22678</f>
        <v>25678</v>
      </c>
      <c r="K84" s="23"/>
      <c r="L84" s="25">
        <f>J84-O84</f>
        <v>25678</v>
      </c>
      <c r="M84" s="23"/>
      <c r="N84" s="23"/>
      <c r="O84" s="23"/>
      <c r="P84" s="23">
        <f t="shared" si="8"/>
        <v>25678</v>
      </c>
      <c r="Q84" s="17"/>
      <c r="R84" s="459"/>
      <c r="S84" s="459"/>
      <c r="T84" s="74"/>
    </row>
    <row r="85" spans="1:20" s="6" customFormat="1" ht="15" customHeight="1">
      <c r="A85" s="20" t="s">
        <v>455</v>
      </c>
      <c r="B85" s="20" t="s">
        <v>470</v>
      </c>
      <c r="C85" s="20" t="s">
        <v>526</v>
      </c>
      <c r="D85" s="22" t="s">
        <v>599</v>
      </c>
      <c r="E85" s="27">
        <f>363523+99000+50000+195000+200000-395000</f>
        <v>512523</v>
      </c>
      <c r="F85" s="26">
        <f t="shared" si="9"/>
        <v>512523</v>
      </c>
      <c r="G85" s="23"/>
      <c r="H85" s="23"/>
      <c r="I85" s="23"/>
      <c r="J85" s="23"/>
      <c r="K85" s="23"/>
      <c r="L85" s="25"/>
      <c r="M85" s="23"/>
      <c r="N85" s="23"/>
      <c r="O85" s="23"/>
      <c r="P85" s="23">
        <f t="shared" si="8"/>
        <v>512523</v>
      </c>
      <c r="Q85" s="17"/>
      <c r="R85" s="459"/>
      <c r="S85" s="459"/>
      <c r="T85" s="74"/>
    </row>
    <row r="86" spans="1:20" s="6" customFormat="1" ht="15" customHeight="1">
      <c r="A86" s="20"/>
      <c r="B86" s="20"/>
      <c r="C86" s="20"/>
      <c r="D86" s="22" t="s">
        <v>425</v>
      </c>
      <c r="E86" s="27">
        <f>E85-E87</f>
        <v>432523</v>
      </c>
      <c r="F86" s="26">
        <f t="shared" si="9"/>
        <v>432523</v>
      </c>
      <c r="G86" s="27"/>
      <c r="H86" s="27"/>
      <c r="I86" s="23"/>
      <c r="J86" s="23"/>
      <c r="K86" s="23"/>
      <c r="L86" s="25"/>
      <c r="M86" s="23"/>
      <c r="N86" s="23"/>
      <c r="O86" s="23"/>
      <c r="P86" s="23">
        <f t="shared" si="8"/>
        <v>432523</v>
      </c>
      <c r="Q86" s="17"/>
      <c r="R86" s="459"/>
      <c r="S86" s="459"/>
      <c r="T86" s="74"/>
    </row>
    <row r="87" spans="1:20" s="6" customFormat="1" ht="27" customHeight="1">
      <c r="A87" s="20"/>
      <c r="B87" s="20"/>
      <c r="C87" s="20"/>
      <c r="D87" s="22" t="s">
        <v>524</v>
      </c>
      <c r="E87" s="27">
        <f>30000+50000</f>
        <v>80000</v>
      </c>
      <c r="F87" s="26">
        <f t="shared" si="9"/>
        <v>80000</v>
      </c>
      <c r="G87" s="23"/>
      <c r="H87" s="23"/>
      <c r="I87" s="23"/>
      <c r="J87" s="23"/>
      <c r="K87" s="23"/>
      <c r="L87" s="25"/>
      <c r="M87" s="23"/>
      <c r="N87" s="23"/>
      <c r="O87" s="23"/>
      <c r="P87" s="23">
        <f t="shared" si="8"/>
        <v>80000</v>
      </c>
      <c r="Q87" s="17"/>
      <c r="R87" s="459"/>
      <c r="S87" s="459"/>
      <c r="T87" s="74"/>
    </row>
    <row r="88" spans="1:20" s="6" customFormat="1" ht="28.9" customHeight="1">
      <c r="A88" s="20" t="s">
        <v>13</v>
      </c>
      <c r="B88" s="20" t="s">
        <v>476</v>
      </c>
      <c r="C88" s="20" t="s">
        <v>41</v>
      </c>
      <c r="D88" s="21" t="s">
        <v>459</v>
      </c>
      <c r="E88" s="59">
        <f>70000+15000+635000</f>
        <v>720000</v>
      </c>
      <c r="F88" s="26">
        <f t="shared" si="9"/>
        <v>720000</v>
      </c>
      <c r="G88" s="32"/>
      <c r="H88" s="32"/>
      <c r="I88" s="32"/>
      <c r="J88" s="32">
        <f>100000+30000</f>
        <v>130000</v>
      </c>
      <c r="K88" s="32">
        <f>100000+30000</f>
        <v>130000</v>
      </c>
      <c r="L88" s="25"/>
      <c r="M88" s="32"/>
      <c r="N88" s="32"/>
      <c r="O88" s="32">
        <f>100000+30000</f>
        <v>130000</v>
      </c>
      <c r="P88" s="23">
        <f t="shared" si="8"/>
        <v>850000</v>
      </c>
      <c r="Q88" s="17"/>
      <c r="R88" s="460"/>
      <c r="S88" s="460"/>
      <c r="T88" s="74"/>
    </row>
    <row r="89" spans="1:20" s="6" customFormat="1">
      <c r="A89" s="20" t="s">
        <v>14</v>
      </c>
      <c r="B89" s="20" t="s">
        <v>477</v>
      </c>
      <c r="C89" s="20" t="s">
        <v>41</v>
      </c>
      <c r="D89" s="22" t="s">
        <v>460</v>
      </c>
      <c r="E89" s="58">
        <f>126734-97671</f>
        <v>29063</v>
      </c>
      <c r="F89" s="26">
        <f t="shared" si="9"/>
        <v>29063</v>
      </c>
      <c r="G89" s="32">
        <v>60300</v>
      </c>
      <c r="H89" s="32"/>
      <c r="I89" s="32"/>
      <c r="J89" s="32"/>
      <c r="K89" s="32"/>
      <c r="L89" s="25"/>
      <c r="M89" s="32"/>
      <c r="N89" s="32"/>
      <c r="O89" s="32"/>
      <c r="P89" s="23">
        <f t="shared" si="8"/>
        <v>29063</v>
      </c>
      <c r="Q89" s="17"/>
      <c r="R89" s="460"/>
      <c r="S89" s="460"/>
      <c r="T89" s="74"/>
    </row>
    <row r="90" spans="1:20" s="6" customFormat="1">
      <c r="A90" s="20" t="s">
        <v>588</v>
      </c>
      <c r="B90" s="20" t="s">
        <v>590</v>
      </c>
      <c r="C90" s="20" t="s">
        <v>591</v>
      </c>
      <c r="D90" s="22" t="s">
        <v>589</v>
      </c>
      <c r="E90" s="58">
        <f>110000+198000+98000+50000+199000+268698+10000</f>
        <v>933698</v>
      </c>
      <c r="F90" s="26">
        <f t="shared" si="9"/>
        <v>933698</v>
      </c>
      <c r="G90" s="32"/>
      <c r="H90" s="32"/>
      <c r="I90" s="32"/>
      <c r="J90" s="32">
        <f>571074+301000+140000</f>
        <v>1012074</v>
      </c>
      <c r="K90" s="32">
        <f>571074+301000+140000</f>
        <v>1012074</v>
      </c>
      <c r="L90" s="25"/>
      <c r="M90" s="32"/>
      <c r="N90" s="32"/>
      <c r="O90" s="32">
        <f>571074+301000+140000</f>
        <v>1012074</v>
      </c>
      <c r="P90" s="23">
        <f t="shared" si="8"/>
        <v>1945772</v>
      </c>
      <c r="Q90" s="17"/>
      <c r="R90" s="460"/>
      <c r="S90" s="460"/>
      <c r="T90" s="74"/>
    </row>
    <row r="91" spans="1:20" s="6" customFormat="1" ht="30" customHeight="1">
      <c r="A91" s="20" t="s">
        <v>456</v>
      </c>
      <c r="B91" s="20" t="s">
        <v>507</v>
      </c>
      <c r="C91" s="20" t="s">
        <v>508</v>
      </c>
      <c r="D91" s="201" t="s">
        <v>509</v>
      </c>
      <c r="E91" s="59"/>
      <c r="F91" s="26"/>
      <c r="G91" s="32"/>
      <c r="H91" s="32"/>
      <c r="I91" s="32"/>
      <c r="J91" s="32">
        <f>103000+101532+66000</f>
        <v>270532</v>
      </c>
      <c r="K91" s="32"/>
      <c r="L91" s="25">
        <f>J91-O91</f>
        <v>204532</v>
      </c>
      <c r="M91" s="32"/>
      <c r="N91" s="32"/>
      <c r="O91" s="32">
        <v>66000</v>
      </c>
      <c r="P91" s="23">
        <f t="shared" si="8"/>
        <v>270532</v>
      </c>
      <c r="Q91" s="17"/>
      <c r="R91" s="460"/>
      <c r="S91" s="460"/>
      <c r="T91" s="74"/>
    </row>
    <row r="92" spans="1:20" s="6" customFormat="1" ht="30" customHeight="1">
      <c r="A92" s="20" t="s">
        <v>727</v>
      </c>
      <c r="B92" s="20" t="s">
        <v>728</v>
      </c>
      <c r="C92" s="20" t="s">
        <v>730</v>
      </c>
      <c r="D92" s="201" t="s">
        <v>729</v>
      </c>
      <c r="E92" s="59">
        <v>14000</v>
      </c>
      <c r="F92" s="26">
        <f t="shared" si="9"/>
        <v>14000</v>
      </c>
      <c r="G92" s="32"/>
      <c r="H92" s="32"/>
      <c r="I92" s="32"/>
      <c r="J92" s="32">
        <v>16000</v>
      </c>
      <c r="K92" s="32"/>
      <c r="L92" s="25">
        <f>J92-O92</f>
        <v>16000</v>
      </c>
      <c r="M92" s="32"/>
      <c r="N92" s="32"/>
      <c r="O92" s="32"/>
      <c r="P92" s="23">
        <f t="shared" si="8"/>
        <v>30000</v>
      </c>
      <c r="Q92" s="17"/>
      <c r="R92" s="231"/>
      <c r="S92" s="231"/>
      <c r="T92" s="74"/>
    </row>
    <row r="93" spans="1:20" s="6" customFormat="1" ht="30" customHeight="1">
      <c r="A93" s="20" t="s">
        <v>670</v>
      </c>
      <c r="B93" s="20" t="s">
        <v>672</v>
      </c>
      <c r="C93" s="20" t="s">
        <v>36</v>
      </c>
      <c r="D93" s="201" t="s">
        <v>671</v>
      </c>
      <c r="E93" s="59"/>
      <c r="F93" s="26"/>
      <c r="G93" s="32"/>
      <c r="H93" s="32"/>
      <c r="I93" s="32"/>
      <c r="J93" s="32">
        <v>150000</v>
      </c>
      <c r="K93" s="32">
        <v>150000</v>
      </c>
      <c r="L93" s="25"/>
      <c r="M93" s="32"/>
      <c r="N93" s="32"/>
      <c r="O93" s="32">
        <v>150000</v>
      </c>
      <c r="P93" s="23">
        <f t="shared" si="8"/>
        <v>150000</v>
      </c>
      <c r="Q93" s="17"/>
      <c r="R93" s="460"/>
      <c r="S93" s="460"/>
      <c r="T93" s="74"/>
    </row>
    <row r="94" spans="1:20" s="6" customFormat="1" ht="42" customHeight="1">
      <c r="A94" s="20" t="s">
        <v>402</v>
      </c>
      <c r="B94" s="20" t="s">
        <v>403</v>
      </c>
      <c r="C94" s="20" t="s">
        <v>55</v>
      </c>
      <c r="D94" s="201" t="s">
        <v>404</v>
      </c>
      <c r="E94" s="59">
        <f>17800+630000+270000+110000</f>
        <v>1027800</v>
      </c>
      <c r="F94" s="26">
        <f t="shared" si="9"/>
        <v>1027800</v>
      </c>
      <c r="G94" s="32"/>
      <c r="H94" s="32"/>
      <c r="I94" s="32"/>
      <c r="J94" s="32">
        <f>2840400+400000+200000</f>
        <v>3440400</v>
      </c>
      <c r="K94" s="32">
        <f>2840400+400000+200000</f>
        <v>3440400</v>
      </c>
      <c r="L94" s="32"/>
      <c r="M94" s="32"/>
      <c r="N94" s="32"/>
      <c r="O94" s="32">
        <f>2840400+400000+200000</f>
        <v>3440400</v>
      </c>
      <c r="P94" s="23">
        <f t="shared" si="8"/>
        <v>4468200</v>
      </c>
      <c r="Q94" s="17"/>
      <c r="R94" s="460"/>
      <c r="S94" s="460"/>
      <c r="T94" s="74"/>
    </row>
    <row r="95" spans="1:20" s="6" customFormat="1" ht="64.5" hidden="1" customHeight="1">
      <c r="A95" s="20" t="s">
        <v>592</v>
      </c>
      <c r="B95" s="20" t="s">
        <v>593</v>
      </c>
      <c r="C95" s="20" t="s">
        <v>55</v>
      </c>
      <c r="D95" s="201" t="s">
        <v>334</v>
      </c>
      <c r="E95" s="59"/>
      <c r="F95" s="26">
        <f t="shared" si="9"/>
        <v>0</v>
      </c>
      <c r="G95" s="32"/>
      <c r="H95" s="32"/>
      <c r="I95" s="32"/>
      <c r="J95" s="32"/>
      <c r="K95" s="32"/>
      <c r="L95" s="25"/>
      <c r="M95" s="32"/>
      <c r="N95" s="32"/>
      <c r="O95" s="32"/>
      <c r="P95" s="23">
        <f t="shared" si="8"/>
        <v>0</v>
      </c>
      <c r="Q95" s="17"/>
      <c r="R95" s="461"/>
      <c r="S95" s="461"/>
      <c r="T95" s="74"/>
    </row>
    <row r="96" spans="1:20" s="6" customFormat="1" ht="33" customHeight="1">
      <c r="A96" s="60" t="s">
        <v>56</v>
      </c>
      <c r="B96" s="63"/>
      <c r="C96" s="63"/>
      <c r="D96" s="44" t="s">
        <v>89</v>
      </c>
      <c r="E96" s="35">
        <f>E97</f>
        <v>146425379.73000002</v>
      </c>
      <c r="F96" s="35">
        <f t="shared" ref="F96:O96" si="10">F97</f>
        <v>146425379.73000002</v>
      </c>
      <c r="G96" s="35">
        <f t="shared" si="10"/>
        <v>94472922</v>
      </c>
      <c r="H96" s="35">
        <f t="shared" si="10"/>
        <v>19449578.73</v>
      </c>
      <c r="I96" s="35"/>
      <c r="J96" s="35">
        <f t="shared" si="10"/>
        <v>7694633</v>
      </c>
      <c r="K96" s="35">
        <f t="shared" si="10"/>
        <v>6593949</v>
      </c>
      <c r="L96" s="35">
        <f t="shared" si="10"/>
        <v>1100684</v>
      </c>
      <c r="M96" s="35">
        <f t="shared" si="10"/>
        <v>0</v>
      </c>
      <c r="N96" s="35">
        <f t="shared" si="10"/>
        <v>1000</v>
      </c>
      <c r="O96" s="35">
        <f t="shared" si="10"/>
        <v>6493949</v>
      </c>
      <c r="P96" s="274">
        <f t="shared" si="8"/>
        <v>154120012.73000002</v>
      </c>
      <c r="Q96" s="17"/>
      <c r="R96" s="461"/>
      <c r="S96" s="461"/>
      <c r="T96" s="74"/>
    </row>
    <row r="97" spans="1:20" s="6" customFormat="1" ht="34.5" customHeight="1">
      <c r="A97" s="60" t="s">
        <v>18</v>
      </c>
      <c r="B97" s="60"/>
      <c r="C97" s="60"/>
      <c r="D97" s="117" t="s">
        <v>90</v>
      </c>
      <c r="E97" s="35">
        <f>E98+E99+E101+E103+E108+E109+E110+E111+E114+E115+E116+E118+E120+E121+E124+E125</f>
        <v>146425379.73000002</v>
      </c>
      <c r="F97" s="35">
        <f>F98+F99+F101+F103+F108+F109+F110+F111+F114+F115+F116+F118+F120+F121+F122+F123+F124+F125</f>
        <v>146425379.73000002</v>
      </c>
      <c r="G97" s="35">
        <f t="shared" ref="G97:H97" si="11">G98+G99+G101+G103+G108+G109+G110+G111+G114+G115+G116+G118+G120+G121+G122+G123+G124+G125</f>
        <v>94472922</v>
      </c>
      <c r="H97" s="35">
        <f t="shared" si="11"/>
        <v>19449578.73</v>
      </c>
      <c r="I97" s="35"/>
      <c r="J97" s="35">
        <f t="shared" ref="J97:P97" si="12">J98+J99+J101+J103+J108+J109+J110+J111+J114+J115+J116+J118+J120+J121+J122+J123+J124+J125</f>
        <v>7694633</v>
      </c>
      <c r="K97" s="35">
        <f t="shared" si="12"/>
        <v>6593949</v>
      </c>
      <c r="L97" s="35">
        <f t="shared" si="12"/>
        <v>1100684</v>
      </c>
      <c r="M97" s="35">
        <f t="shared" si="12"/>
        <v>0</v>
      </c>
      <c r="N97" s="35">
        <f t="shared" si="12"/>
        <v>1000</v>
      </c>
      <c r="O97" s="35">
        <f t="shared" si="12"/>
        <v>6493949</v>
      </c>
      <c r="P97" s="35">
        <f t="shared" si="12"/>
        <v>154120012.73000002</v>
      </c>
      <c r="Q97" s="17"/>
      <c r="R97" s="141"/>
      <c r="S97" s="141"/>
      <c r="T97" s="74"/>
    </row>
    <row r="98" spans="1:20" s="6" customFormat="1" ht="41.45" customHeight="1">
      <c r="A98" s="20" t="s">
        <v>426</v>
      </c>
      <c r="B98" s="20" t="s">
        <v>510</v>
      </c>
      <c r="C98" s="20" t="s">
        <v>35</v>
      </c>
      <c r="D98" s="21" t="s">
        <v>409</v>
      </c>
      <c r="E98" s="27">
        <f>1094088+42642+3410+4050</f>
        <v>1144190</v>
      </c>
      <c r="F98" s="56">
        <f t="shared" ref="F98:F108" si="13">E98-I98</f>
        <v>1144190</v>
      </c>
      <c r="G98" s="27">
        <f>738900+23887</f>
        <v>762787</v>
      </c>
      <c r="H98" s="27">
        <v>115439</v>
      </c>
      <c r="I98" s="27"/>
      <c r="J98" s="27"/>
      <c r="K98" s="27"/>
      <c r="L98" s="25"/>
      <c r="M98" s="27"/>
      <c r="N98" s="27"/>
      <c r="O98" s="27"/>
      <c r="P98" s="23">
        <f>E98+J98</f>
        <v>1144190</v>
      </c>
      <c r="Q98" s="17"/>
      <c r="R98" s="141"/>
      <c r="S98" s="141"/>
      <c r="T98" s="74"/>
    </row>
    <row r="99" spans="1:20" s="6" customFormat="1" ht="18.75" customHeight="1">
      <c r="A99" s="20" t="s">
        <v>19</v>
      </c>
      <c r="B99" s="62" t="s">
        <v>53</v>
      </c>
      <c r="C99" s="62" t="s">
        <v>48</v>
      </c>
      <c r="D99" s="21" t="s">
        <v>528</v>
      </c>
      <c r="E99" s="27">
        <f>21238028+6001502+19064+65000-187097-608760+94178.73+299000-15376</f>
        <v>26905539.73</v>
      </c>
      <c r="F99" s="56">
        <f t="shared" si="13"/>
        <v>26905539.73</v>
      </c>
      <c r="G99" s="27">
        <f>12172154+4027846-18853-500000</f>
        <v>15681147</v>
      </c>
      <c r="H99" s="27">
        <f>3725400+900000+19064+15647.73</f>
        <v>4660111.7300000004</v>
      </c>
      <c r="I99" s="27"/>
      <c r="J99" s="27">
        <v>1075684</v>
      </c>
      <c r="K99" s="27"/>
      <c r="L99" s="25">
        <f>J99-O99</f>
        <v>1075684</v>
      </c>
      <c r="M99" s="58"/>
      <c r="N99" s="58"/>
      <c r="O99" s="27"/>
      <c r="P99" s="23">
        <f>E99+J99</f>
        <v>27981223.73</v>
      </c>
      <c r="Q99" s="17"/>
      <c r="R99" s="141"/>
      <c r="S99" s="141"/>
      <c r="T99" s="74"/>
    </row>
    <row r="100" spans="1:20" s="6" customFormat="1" ht="28.5" customHeight="1">
      <c r="A100" s="20"/>
      <c r="B100" s="62"/>
      <c r="C100" s="62"/>
      <c r="D100" s="22" t="s">
        <v>600</v>
      </c>
      <c r="E100" s="27">
        <v>15647.73</v>
      </c>
      <c r="F100" s="56">
        <f t="shared" si="13"/>
        <v>15647.73</v>
      </c>
      <c r="G100" s="27"/>
      <c r="H100" s="27">
        <v>15647.73</v>
      </c>
      <c r="I100" s="27"/>
      <c r="J100" s="27"/>
      <c r="K100" s="27"/>
      <c r="L100" s="25"/>
      <c r="M100" s="58"/>
      <c r="N100" s="58"/>
      <c r="O100" s="27"/>
      <c r="P100" s="23">
        <f>E100+J100</f>
        <v>15647.73</v>
      </c>
      <c r="Q100" s="17"/>
      <c r="R100" s="141"/>
      <c r="S100" s="141"/>
      <c r="T100" s="74"/>
    </row>
    <row r="101" spans="1:20" s="6" customFormat="1" ht="40.5" customHeight="1">
      <c r="A101" s="20" t="s">
        <v>117</v>
      </c>
      <c r="B101" s="20" t="s">
        <v>118</v>
      </c>
      <c r="C101" s="20" t="s">
        <v>42</v>
      </c>
      <c r="D101" s="22" t="s">
        <v>101</v>
      </c>
      <c r="E101" s="27">
        <f>35503630+3455007+215873+122100+151597+3172275+1591869+333849+184436</f>
        <v>44730636</v>
      </c>
      <c r="F101" s="56">
        <f t="shared" si="13"/>
        <v>44730636</v>
      </c>
      <c r="G101" s="27">
        <f>17418819+1639350+1000000</f>
        <v>20058169</v>
      </c>
      <c r="H101" s="27">
        <f>11158834+2900000+9203-325926-272473</f>
        <v>13469638</v>
      </c>
      <c r="I101" s="27"/>
      <c r="J101" s="27">
        <f>25000+2500000+450000</f>
        <v>2975000</v>
      </c>
      <c r="K101" s="27">
        <f>2500000+450000</f>
        <v>2950000</v>
      </c>
      <c r="L101" s="25">
        <f>J101-O101</f>
        <v>25000</v>
      </c>
      <c r="M101" s="27"/>
      <c r="N101" s="27">
        <v>1000</v>
      </c>
      <c r="O101" s="27">
        <f>2500000+450000</f>
        <v>2950000</v>
      </c>
      <c r="P101" s="27">
        <f t="shared" ref="P101:P125" si="14">E101+J101</f>
        <v>47705636</v>
      </c>
      <c r="Q101" s="17"/>
      <c r="R101" s="141"/>
      <c r="S101" s="141"/>
      <c r="T101" s="74"/>
    </row>
    <row r="102" spans="1:20" s="6" customFormat="1" ht="29.25" hidden="1" customHeight="1">
      <c r="A102" s="20"/>
      <c r="B102" s="20"/>
      <c r="C102" s="20"/>
      <c r="D102" s="22" t="s">
        <v>600</v>
      </c>
      <c r="E102" s="27"/>
      <c r="F102" s="56">
        <f t="shared" si="13"/>
        <v>0</v>
      </c>
      <c r="G102" s="27"/>
      <c r="H102" s="27"/>
      <c r="I102" s="27"/>
      <c r="J102" s="27"/>
      <c r="K102" s="27"/>
      <c r="L102" s="25"/>
      <c r="M102" s="27"/>
      <c r="N102" s="27"/>
      <c r="O102" s="27"/>
      <c r="P102" s="27">
        <f t="shared" si="14"/>
        <v>0</v>
      </c>
      <c r="Q102" s="17"/>
      <c r="R102" s="141"/>
      <c r="S102" s="141"/>
      <c r="T102" s="74"/>
    </row>
    <row r="103" spans="1:20" s="6" customFormat="1" ht="39.75" customHeight="1">
      <c r="A103" s="20" t="s">
        <v>119</v>
      </c>
      <c r="B103" s="20" t="s">
        <v>120</v>
      </c>
      <c r="C103" s="20" t="s">
        <v>42</v>
      </c>
      <c r="D103" s="22" t="s">
        <v>102</v>
      </c>
      <c r="E103" s="27">
        <f>58638100+300</f>
        <v>58638400</v>
      </c>
      <c r="F103" s="56">
        <f t="shared" si="13"/>
        <v>58638400</v>
      </c>
      <c r="G103" s="27">
        <f>48064016+246</f>
        <v>48064262</v>
      </c>
      <c r="H103" s="27"/>
      <c r="I103" s="27"/>
      <c r="J103" s="27"/>
      <c r="K103" s="27"/>
      <c r="L103" s="25"/>
      <c r="M103" s="58"/>
      <c r="N103" s="58"/>
      <c r="O103" s="27"/>
      <c r="P103" s="27">
        <f t="shared" si="14"/>
        <v>58638400</v>
      </c>
      <c r="Q103" s="17"/>
      <c r="R103" s="141"/>
      <c r="S103" s="141"/>
      <c r="T103" s="74"/>
    </row>
    <row r="104" spans="1:20" s="6" customFormat="1" ht="44.25" hidden="1" customHeight="1">
      <c r="A104" s="20"/>
      <c r="B104" s="20"/>
      <c r="C104" s="20"/>
      <c r="D104" s="22" t="s">
        <v>535</v>
      </c>
      <c r="E104" s="27"/>
      <c r="F104" s="56">
        <f t="shared" si="13"/>
        <v>0</v>
      </c>
      <c r="G104" s="27"/>
      <c r="H104" s="27"/>
      <c r="I104" s="27"/>
      <c r="J104" s="27"/>
      <c r="K104" s="27"/>
      <c r="L104" s="25"/>
      <c r="M104" s="58"/>
      <c r="N104" s="58"/>
      <c r="O104" s="27"/>
      <c r="P104" s="27">
        <f t="shared" si="14"/>
        <v>0</v>
      </c>
      <c r="Q104" s="17"/>
      <c r="R104" s="141"/>
      <c r="S104" s="141"/>
      <c r="T104" s="74"/>
    </row>
    <row r="105" spans="1:20" s="6" customFormat="1" ht="29.25" hidden="1" customHeight="1">
      <c r="A105" s="20"/>
      <c r="B105" s="20"/>
      <c r="C105" s="20"/>
      <c r="D105" s="22" t="s">
        <v>524</v>
      </c>
      <c r="E105" s="27"/>
      <c r="F105" s="56">
        <f t="shared" si="13"/>
        <v>0</v>
      </c>
      <c r="G105" s="27"/>
      <c r="H105" s="27"/>
      <c r="I105" s="27"/>
      <c r="J105" s="27"/>
      <c r="K105" s="27"/>
      <c r="L105" s="25"/>
      <c r="M105" s="58"/>
      <c r="N105" s="58"/>
      <c r="O105" s="27"/>
      <c r="P105" s="27">
        <f t="shared" si="14"/>
        <v>0</v>
      </c>
      <c r="Q105" s="17"/>
      <c r="R105" s="141"/>
      <c r="S105" s="141"/>
      <c r="T105" s="74"/>
    </row>
    <row r="106" spans="1:20" s="6" customFormat="1" ht="44.25" hidden="1" customHeight="1">
      <c r="A106" s="20"/>
      <c r="B106" s="20"/>
      <c r="C106" s="20"/>
      <c r="D106" s="22" t="s">
        <v>116</v>
      </c>
      <c r="E106" s="27"/>
      <c r="F106" s="56">
        <f t="shared" si="13"/>
        <v>0</v>
      </c>
      <c r="G106" s="27"/>
      <c r="H106" s="27"/>
      <c r="I106" s="27"/>
      <c r="J106" s="27"/>
      <c r="K106" s="27"/>
      <c r="L106" s="25"/>
      <c r="M106" s="58"/>
      <c r="N106" s="58"/>
      <c r="O106" s="27"/>
      <c r="P106" s="27">
        <f t="shared" si="14"/>
        <v>0</v>
      </c>
      <c r="Q106" s="17"/>
      <c r="R106" s="141"/>
      <c r="S106" s="141"/>
      <c r="T106" s="74"/>
    </row>
    <row r="107" spans="1:20" s="6" customFormat="1" ht="37.5" hidden="1" customHeight="1">
      <c r="A107" s="20"/>
      <c r="B107" s="20"/>
      <c r="C107" s="20"/>
      <c r="D107" s="22" t="s">
        <v>113</v>
      </c>
      <c r="E107" s="27"/>
      <c r="F107" s="56">
        <f t="shared" si="13"/>
        <v>0</v>
      </c>
      <c r="G107" s="27"/>
      <c r="H107" s="27"/>
      <c r="I107" s="27"/>
      <c r="J107" s="27"/>
      <c r="K107" s="27"/>
      <c r="L107" s="25"/>
      <c r="M107" s="58"/>
      <c r="N107" s="58"/>
      <c r="O107" s="27"/>
      <c r="P107" s="27">
        <f t="shared" si="14"/>
        <v>0</v>
      </c>
      <c r="Q107" s="17"/>
      <c r="R107" s="141"/>
      <c r="S107" s="141"/>
      <c r="T107" s="74"/>
    </row>
    <row r="108" spans="1:20" s="6" customFormat="1" ht="39.75" customHeight="1">
      <c r="A108" s="20" t="s">
        <v>387</v>
      </c>
      <c r="B108" s="20" t="s">
        <v>50</v>
      </c>
      <c r="C108" s="20" t="s">
        <v>43</v>
      </c>
      <c r="D108" s="21" t="s">
        <v>111</v>
      </c>
      <c r="E108" s="27">
        <f>3544277+79577-366000+10000</f>
        <v>3267854</v>
      </c>
      <c r="F108" s="56">
        <f t="shared" si="13"/>
        <v>3267854</v>
      </c>
      <c r="G108" s="27">
        <f>2101223-300000</f>
        <v>1801223</v>
      </c>
      <c r="H108" s="27">
        <f>249134+73600</f>
        <v>322734</v>
      </c>
      <c r="I108" s="27"/>
      <c r="J108" s="27"/>
      <c r="K108" s="27"/>
      <c r="L108" s="25"/>
      <c r="M108" s="58"/>
      <c r="N108" s="58"/>
      <c r="O108" s="27"/>
      <c r="P108" s="27">
        <f t="shared" si="14"/>
        <v>3267854</v>
      </c>
      <c r="Q108" s="17"/>
      <c r="R108" s="141"/>
      <c r="S108" s="141"/>
      <c r="T108" s="74"/>
    </row>
    <row r="109" spans="1:20" s="6" customFormat="1" ht="27.75" customHeight="1">
      <c r="A109" s="20" t="s">
        <v>391</v>
      </c>
      <c r="B109" s="20" t="s">
        <v>392</v>
      </c>
      <c r="C109" s="20" t="s">
        <v>44</v>
      </c>
      <c r="D109" s="22" t="s">
        <v>531</v>
      </c>
      <c r="E109" s="27">
        <f>5421857+29315+29142-7142+13915+5100+31000+9890</f>
        <v>5533077</v>
      </c>
      <c r="F109" s="56">
        <f t="shared" ref="F109:F121" si="15">E109-I109</f>
        <v>5533077</v>
      </c>
      <c r="G109" s="27">
        <v>4054512</v>
      </c>
      <c r="H109" s="27">
        <f>228312+17000</f>
        <v>245312</v>
      </c>
      <c r="I109" s="27"/>
      <c r="J109" s="27"/>
      <c r="K109" s="27"/>
      <c r="L109" s="25"/>
      <c r="M109" s="58"/>
      <c r="N109" s="58"/>
      <c r="O109" s="27"/>
      <c r="P109" s="27">
        <f t="shared" si="14"/>
        <v>5533077</v>
      </c>
      <c r="Q109" s="17"/>
      <c r="R109" s="141"/>
      <c r="S109" s="141"/>
      <c r="T109" s="74"/>
    </row>
    <row r="110" spans="1:20" s="6" customFormat="1" ht="19.5" customHeight="1">
      <c r="A110" s="20" t="s">
        <v>389</v>
      </c>
      <c r="B110" s="20" t="s">
        <v>390</v>
      </c>
      <c r="C110" s="20" t="s">
        <v>44</v>
      </c>
      <c r="D110" s="22" t="s">
        <v>553</v>
      </c>
      <c r="E110" s="27">
        <v>20664</v>
      </c>
      <c r="F110" s="56">
        <f t="shared" si="15"/>
        <v>20664</v>
      </c>
      <c r="G110" s="27"/>
      <c r="H110" s="27"/>
      <c r="I110" s="27"/>
      <c r="J110" s="27"/>
      <c r="K110" s="27"/>
      <c r="L110" s="25"/>
      <c r="M110" s="58"/>
      <c r="N110" s="58"/>
      <c r="O110" s="27"/>
      <c r="P110" s="27">
        <f t="shared" si="14"/>
        <v>20664</v>
      </c>
      <c r="Q110" s="17"/>
      <c r="R110" s="141"/>
      <c r="S110" s="141"/>
      <c r="T110" s="74"/>
    </row>
    <row r="111" spans="1:20" s="6" customFormat="1" ht="30" customHeight="1">
      <c r="A111" s="20" t="s">
        <v>121</v>
      </c>
      <c r="B111" s="20" t="s">
        <v>122</v>
      </c>
      <c r="C111" s="20" t="s">
        <v>44</v>
      </c>
      <c r="D111" s="22" t="s">
        <v>123</v>
      </c>
      <c r="E111" s="27">
        <f>268058+45750-29142+10000+4500</f>
        <v>299166</v>
      </c>
      <c r="F111" s="56">
        <f t="shared" si="15"/>
        <v>299166</v>
      </c>
      <c r="G111" s="27">
        <f>84105+37500-23887</f>
        <v>97718</v>
      </c>
      <c r="H111" s="27">
        <v>116883</v>
      </c>
      <c r="I111" s="27"/>
      <c r="J111" s="27"/>
      <c r="K111" s="27"/>
      <c r="L111" s="25"/>
      <c r="M111" s="58"/>
      <c r="N111" s="58"/>
      <c r="O111" s="27"/>
      <c r="P111" s="27">
        <f t="shared" si="14"/>
        <v>299166</v>
      </c>
      <c r="Q111" s="17"/>
      <c r="R111" s="141"/>
      <c r="S111" s="141"/>
      <c r="T111" s="74"/>
    </row>
    <row r="112" spans="1:20" s="6" customFormat="1" ht="18.75" customHeight="1">
      <c r="A112" s="20"/>
      <c r="B112" s="20"/>
      <c r="C112" s="20"/>
      <c r="D112" s="22" t="s">
        <v>412</v>
      </c>
      <c r="E112" s="27">
        <f>E111-E113</f>
        <v>245966</v>
      </c>
      <c r="F112" s="27">
        <f>F111-F113</f>
        <v>245966</v>
      </c>
      <c r="G112" s="27">
        <f>G111-G113</f>
        <v>72668</v>
      </c>
      <c r="H112" s="27">
        <f>H111-H113</f>
        <v>116154</v>
      </c>
      <c r="I112" s="27"/>
      <c r="J112" s="27"/>
      <c r="K112" s="27"/>
      <c r="L112" s="25"/>
      <c r="M112" s="58"/>
      <c r="N112" s="58"/>
      <c r="O112" s="27"/>
      <c r="P112" s="27">
        <f t="shared" si="14"/>
        <v>245966</v>
      </c>
      <c r="Q112" s="17"/>
      <c r="R112" s="141"/>
      <c r="S112" s="141"/>
      <c r="T112" s="74"/>
    </row>
    <row r="113" spans="1:20" s="6" customFormat="1" ht="30" customHeight="1">
      <c r="A113" s="20"/>
      <c r="B113" s="20"/>
      <c r="C113" s="20"/>
      <c r="D113" s="22" t="s">
        <v>524</v>
      </c>
      <c r="E113" s="27">
        <f>38700+10000+4500</f>
        <v>53200</v>
      </c>
      <c r="F113" s="56">
        <f t="shared" si="15"/>
        <v>53200</v>
      </c>
      <c r="G113" s="27">
        <v>25050</v>
      </c>
      <c r="H113" s="27">
        <v>729</v>
      </c>
      <c r="I113" s="27"/>
      <c r="J113" s="27"/>
      <c r="K113" s="27"/>
      <c r="L113" s="25"/>
      <c r="M113" s="58"/>
      <c r="N113" s="58"/>
      <c r="O113" s="27"/>
      <c r="P113" s="27">
        <f t="shared" si="14"/>
        <v>53200</v>
      </c>
      <c r="Q113" s="17"/>
      <c r="R113" s="141"/>
      <c r="S113" s="141"/>
      <c r="T113" s="74"/>
    </row>
    <row r="114" spans="1:20" s="6" customFormat="1" ht="28.5" customHeight="1">
      <c r="A114" s="20" t="s">
        <v>124</v>
      </c>
      <c r="B114" s="20" t="s">
        <v>125</v>
      </c>
      <c r="C114" s="20" t="s">
        <v>44</v>
      </c>
      <c r="D114" s="22" t="s">
        <v>126</v>
      </c>
      <c r="E114" s="27">
        <v>670383</v>
      </c>
      <c r="F114" s="56">
        <f t="shared" si="15"/>
        <v>670383</v>
      </c>
      <c r="G114" s="27">
        <v>549494</v>
      </c>
      <c r="H114" s="27"/>
      <c r="I114" s="27"/>
      <c r="J114" s="27"/>
      <c r="K114" s="27"/>
      <c r="L114" s="25"/>
      <c r="M114" s="58"/>
      <c r="N114" s="58"/>
      <c r="O114" s="27"/>
      <c r="P114" s="27">
        <f t="shared" si="14"/>
        <v>670383</v>
      </c>
      <c r="Q114" s="17"/>
      <c r="R114" s="141"/>
      <c r="S114" s="141"/>
      <c r="T114" s="74"/>
    </row>
    <row r="115" spans="1:20" s="6" customFormat="1" ht="28.5" customHeight="1">
      <c r="A115" s="20" t="s">
        <v>157</v>
      </c>
      <c r="B115" s="20" t="s">
        <v>156</v>
      </c>
      <c r="C115" s="20" t="s">
        <v>44</v>
      </c>
      <c r="D115" s="22" t="s">
        <v>158</v>
      </c>
      <c r="E115" s="27">
        <f>1141163+18990+915+82681</f>
        <v>1243749</v>
      </c>
      <c r="F115" s="56">
        <f t="shared" si="15"/>
        <v>1243749</v>
      </c>
      <c r="G115" s="27">
        <f>790000+67771</f>
        <v>857771</v>
      </c>
      <c r="H115" s="27">
        <v>85616</v>
      </c>
      <c r="I115" s="27"/>
      <c r="J115" s="27"/>
      <c r="K115" s="27"/>
      <c r="L115" s="25"/>
      <c r="M115" s="58"/>
      <c r="N115" s="58"/>
      <c r="O115" s="27"/>
      <c r="P115" s="27">
        <f t="shared" si="14"/>
        <v>1243749</v>
      </c>
      <c r="Q115" s="17"/>
      <c r="R115" s="141"/>
      <c r="S115" s="141"/>
      <c r="T115" s="74"/>
    </row>
    <row r="116" spans="1:20" s="6" customFormat="1" ht="62.45" hidden="1" customHeight="1">
      <c r="A116" s="20" t="s">
        <v>133</v>
      </c>
      <c r="B116" s="20" t="s">
        <v>134</v>
      </c>
      <c r="C116" s="20" t="s">
        <v>44</v>
      </c>
      <c r="D116" s="22" t="s">
        <v>135</v>
      </c>
      <c r="E116" s="27">
        <f>45000-45000</f>
        <v>0</v>
      </c>
      <c r="F116" s="56">
        <f t="shared" si="15"/>
        <v>0</v>
      </c>
      <c r="G116" s="27"/>
      <c r="H116" s="27"/>
      <c r="I116" s="27"/>
      <c r="J116" s="27"/>
      <c r="K116" s="27"/>
      <c r="L116" s="25"/>
      <c r="M116" s="58"/>
      <c r="N116" s="58"/>
      <c r="O116" s="27"/>
      <c r="P116" s="27">
        <f t="shared" si="14"/>
        <v>0</v>
      </c>
      <c r="Q116" s="17"/>
      <c r="R116" s="141"/>
      <c r="S116" s="141"/>
      <c r="T116" s="74"/>
    </row>
    <row r="117" spans="1:20" s="6" customFormat="1" ht="62.45" hidden="1" customHeight="1">
      <c r="A117" s="20" t="s">
        <v>137</v>
      </c>
      <c r="B117" s="20" t="s">
        <v>138</v>
      </c>
      <c r="C117" s="20" t="s">
        <v>44</v>
      </c>
      <c r="D117" s="22" t="s">
        <v>139</v>
      </c>
      <c r="E117" s="27"/>
      <c r="F117" s="56">
        <f t="shared" si="15"/>
        <v>0</v>
      </c>
      <c r="G117" s="27"/>
      <c r="H117" s="27"/>
      <c r="I117" s="27"/>
      <c r="J117" s="27"/>
      <c r="K117" s="27"/>
      <c r="L117" s="25"/>
      <c r="M117" s="58"/>
      <c r="N117" s="58"/>
      <c r="O117" s="27"/>
      <c r="P117" s="27">
        <f t="shared" si="14"/>
        <v>0</v>
      </c>
      <c r="Q117" s="17"/>
      <c r="R117" s="141"/>
      <c r="S117" s="141"/>
      <c r="T117" s="74"/>
    </row>
    <row r="118" spans="1:20" s="6" customFormat="1" ht="47.45" customHeight="1">
      <c r="A118" s="20" t="s">
        <v>129</v>
      </c>
      <c r="B118" s="20" t="s">
        <v>127</v>
      </c>
      <c r="C118" s="20" t="s">
        <v>44</v>
      </c>
      <c r="D118" s="22" t="s">
        <v>128</v>
      </c>
      <c r="E118" s="27">
        <v>116197</v>
      </c>
      <c r="F118" s="56">
        <f t="shared" si="15"/>
        <v>116197</v>
      </c>
      <c r="G118" s="27">
        <v>95243</v>
      </c>
      <c r="H118" s="27"/>
      <c r="I118" s="27"/>
      <c r="J118" s="27"/>
      <c r="K118" s="27"/>
      <c r="L118" s="25"/>
      <c r="M118" s="58"/>
      <c r="N118" s="58"/>
      <c r="O118" s="27"/>
      <c r="P118" s="27">
        <f t="shared" si="14"/>
        <v>116197</v>
      </c>
      <c r="Q118" s="17"/>
      <c r="R118" s="141"/>
      <c r="S118" s="141"/>
      <c r="T118" s="74"/>
    </row>
    <row r="119" spans="1:20" s="6" customFormat="1" ht="54.75" customHeight="1">
      <c r="A119" s="20"/>
      <c r="B119" s="20"/>
      <c r="C119" s="20"/>
      <c r="D119" s="22" t="s">
        <v>572</v>
      </c>
      <c r="E119" s="27">
        <f>E118</f>
        <v>116197</v>
      </c>
      <c r="F119" s="27">
        <f>F118</f>
        <v>116197</v>
      </c>
      <c r="G119" s="27">
        <f>G118</f>
        <v>95243</v>
      </c>
      <c r="H119" s="27"/>
      <c r="I119" s="27"/>
      <c r="J119" s="27"/>
      <c r="K119" s="27"/>
      <c r="L119" s="25"/>
      <c r="M119" s="58"/>
      <c r="N119" s="58"/>
      <c r="O119" s="27"/>
      <c r="P119" s="27">
        <f>P118</f>
        <v>116197</v>
      </c>
      <c r="Q119" s="17"/>
      <c r="R119" s="141"/>
      <c r="S119" s="141"/>
      <c r="T119" s="74"/>
    </row>
    <row r="120" spans="1:20" s="6" customFormat="1" ht="52.15" customHeight="1">
      <c r="A120" s="20" t="s">
        <v>370</v>
      </c>
      <c r="B120" s="20" t="s">
        <v>371</v>
      </c>
      <c r="C120" s="20" t="s">
        <v>44</v>
      </c>
      <c r="D120" s="22" t="s">
        <v>369</v>
      </c>
      <c r="E120" s="27">
        <v>64655</v>
      </c>
      <c r="F120" s="26">
        <f>E120-I120</f>
        <v>64655</v>
      </c>
      <c r="G120" s="27">
        <v>52996</v>
      </c>
      <c r="H120" s="27"/>
      <c r="I120" s="27"/>
      <c r="J120" s="27"/>
      <c r="K120" s="27"/>
      <c r="L120" s="25"/>
      <c r="M120" s="58"/>
      <c r="N120" s="58"/>
      <c r="O120" s="27"/>
      <c r="P120" s="27">
        <f t="shared" si="14"/>
        <v>64655</v>
      </c>
      <c r="Q120" s="17"/>
      <c r="R120" s="141"/>
      <c r="S120" s="141"/>
      <c r="T120" s="74"/>
    </row>
    <row r="121" spans="1:20" s="6" customFormat="1" ht="63" hidden="1" customHeight="1">
      <c r="A121" s="20" t="s">
        <v>20</v>
      </c>
      <c r="B121" s="20" t="s">
        <v>465</v>
      </c>
      <c r="C121" s="20" t="s">
        <v>39</v>
      </c>
      <c r="D121" s="22" t="s">
        <v>521</v>
      </c>
      <c r="E121" s="27">
        <f>60000-60000</f>
        <v>0</v>
      </c>
      <c r="F121" s="56">
        <f t="shared" si="15"/>
        <v>0</v>
      </c>
      <c r="G121" s="27"/>
      <c r="H121" s="27"/>
      <c r="I121" s="27"/>
      <c r="J121" s="27"/>
      <c r="K121" s="27"/>
      <c r="L121" s="25"/>
      <c r="M121" s="58"/>
      <c r="N121" s="58"/>
      <c r="O121" s="27"/>
      <c r="P121" s="27">
        <f t="shared" si="14"/>
        <v>0</v>
      </c>
      <c r="Q121" s="17"/>
      <c r="R121" s="141"/>
      <c r="S121" s="141"/>
      <c r="T121" s="74"/>
    </row>
    <row r="122" spans="1:20" s="6" customFormat="1" ht="54" customHeight="1">
      <c r="A122" s="20" t="s">
        <v>719</v>
      </c>
      <c r="B122" s="20" t="s">
        <v>720</v>
      </c>
      <c r="C122" s="20" t="s">
        <v>44</v>
      </c>
      <c r="D122" s="22" t="s">
        <v>721</v>
      </c>
      <c r="E122" s="27"/>
      <c r="F122" s="56"/>
      <c r="G122" s="27"/>
      <c r="H122" s="27"/>
      <c r="I122" s="27"/>
      <c r="J122" s="27">
        <v>885000</v>
      </c>
      <c r="K122" s="27">
        <v>885000</v>
      </c>
      <c r="L122" s="25"/>
      <c r="M122" s="58"/>
      <c r="N122" s="58"/>
      <c r="O122" s="27">
        <v>885000</v>
      </c>
      <c r="P122" s="27">
        <f t="shared" si="14"/>
        <v>885000</v>
      </c>
      <c r="Q122" s="17"/>
      <c r="R122" s="141"/>
      <c r="S122" s="141"/>
      <c r="T122" s="74"/>
    </row>
    <row r="123" spans="1:20" s="6" customFormat="1" ht="42.75" customHeight="1">
      <c r="A123" s="20" t="s">
        <v>722</v>
      </c>
      <c r="B123" s="20" t="s">
        <v>723</v>
      </c>
      <c r="C123" s="20" t="s">
        <v>44</v>
      </c>
      <c r="D123" s="22" t="s">
        <v>724</v>
      </c>
      <c r="E123" s="27"/>
      <c r="F123" s="56"/>
      <c r="G123" s="27"/>
      <c r="H123" s="27"/>
      <c r="I123" s="27"/>
      <c r="J123" s="27">
        <v>2065000</v>
      </c>
      <c r="K123" s="27">
        <v>2065000</v>
      </c>
      <c r="L123" s="25"/>
      <c r="M123" s="58"/>
      <c r="N123" s="58"/>
      <c r="O123" s="27">
        <v>2065000</v>
      </c>
      <c r="P123" s="27">
        <f t="shared" si="14"/>
        <v>2065000</v>
      </c>
      <c r="Q123" s="17"/>
      <c r="R123" s="141"/>
      <c r="S123" s="141"/>
      <c r="T123" s="74"/>
    </row>
    <row r="124" spans="1:20" s="6" customFormat="1" ht="29.25" customHeight="1">
      <c r="A124" s="20" t="s">
        <v>21</v>
      </c>
      <c r="B124" s="20" t="s">
        <v>518</v>
      </c>
      <c r="C124" s="20" t="s">
        <v>40</v>
      </c>
      <c r="D124" s="22" t="s">
        <v>519</v>
      </c>
      <c r="E124" s="27">
        <f>3879340+121480+11733+194900+34520-215755-57500+5151-183000</f>
        <v>3790869</v>
      </c>
      <c r="F124" s="56">
        <f>E124-I124</f>
        <v>3790869</v>
      </c>
      <c r="G124" s="27">
        <f>2853900-256300-50000-150000</f>
        <v>2397600</v>
      </c>
      <c r="H124" s="27">
        <f>307112+115000+11733</f>
        <v>433845</v>
      </c>
      <c r="I124" s="27"/>
      <c r="J124" s="27"/>
      <c r="K124" s="27"/>
      <c r="L124" s="25"/>
      <c r="M124" s="58"/>
      <c r="N124" s="58"/>
      <c r="O124" s="27"/>
      <c r="P124" s="27">
        <f t="shared" si="14"/>
        <v>3790869</v>
      </c>
      <c r="Q124" s="17"/>
      <c r="R124" s="141"/>
      <c r="S124" s="141"/>
      <c r="T124" s="74"/>
    </row>
    <row r="125" spans="1:20" s="6" customFormat="1" ht="24.75" customHeight="1">
      <c r="A125" s="20" t="s">
        <v>703</v>
      </c>
      <c r="B125" s="20" t="s">
        <v>704</v>
      </c>
      <c r="C125" s="20" t="s">
        <v>688</v>
      </c>
      <c r="D125" s="201" t="s">
        <v>705</v>
      </c>
      <c r="E125" s="27"/>
      <c r="F125" s="56"/>
      <c r="G125" s="27"/>
      <c r="H125" s="27"/>
      <c r="I125" s="27"/>
      <c r="J125" s="27">
        <f>193949+500000</f>
        <v>693949</v>
      </c>
      <c r="K125" s="27">
        <f>193949+500000</f>
        <v>693949</v>
      </c>
      <c r="L125" s="25"/>
      <c r="M125" s="58"/>
      <c r="N125" s="58"/>
      <c r="O125" s="27">
        <f>93949+500000</f>
        <v>593949</v>
      </c>
      <c r="P125" s="27">
        <f t="shared" si="14"/>
        <v>693949</v>
      </c>
      <c r="Q125" s="17"/>
      <c r="R125" s="461"/>
      <c r="S125" s="461"/>
      <c r="T125" s="74"/>
    </row>
    <row r="126" spans="1:20" s="6" customFormat="1" ht="42" customHeight="1">
      <c r="A126" s="64" t="s">
        <v>648</v>
      </c>
      <c r="B126" s="20"/>
      <c r="C126" s="20"/>
      <c r="D126" s="44" t="s">
        <v>88</v>
      </c>
      <c r="E126" s="35">
        <f>E127</f>
        <v>22164846</v>
      </c>
      <c r="F126" s="35">
        <f>F127</f>
        <v>22164846</v>
      </c>
      <c r="G126" s="35">
        <f>G127</f>
        <v>15543912</v>
      </c>
      <c r="H126" s="35">
        <f>H127</f>
        <v>2041130</v>
      </c>
      <c r="I126" s="35"/>
      <c r="J126" s="35">
        <f t="shared" ref="J126:P126" si="16">J127</f>
        <v>830470</v>
      </c>
      <c r="K126" s="35">
        <f t="shared" si="16"/>
        <v>46999</v>
      </c>
      <c r="L126" s="35">
        <f t="shared" si="16"/>
        <v>783471</v>
      </c>
      <c r="M126" s="35">
        <f t="shared" si="16"/>
        <v>577886</v>
      </c>
      <c r="N126" s="35">
        <f t="shared" si="16"/>
        <v>5000</v>
      </c>
      <c r="O126" s="35">
        <f t="shared" si="16"/>
        <v>46999</v>
      </c>
      <c r="P126" s="35">
        <f t="shared" si="16"/>
        <v>22995316</v>
      </c>
      <c r="Q126" s="17"/>
      <c r="R126" s="462"/>
      <c r="S126" s="462"/>
      <c r="T126" s="74"/>
    </row>
    <row r="127" spans="1:20" s="6" customFormat="1" ht="40.5" customHeight="1">
      <c r="A127" s="60" t="s">
        <v>726</v>
      </c>
      <c r="B127" s="60"/>
      <c r="C127" s="60"/>
      <c r="D127" s="117" t="s">
        <v>88</v>
      </c>
      <c r="E127" s="24">
        <f>SUM(E128:E138)-E130</f>
        <v>22164846</v>
      </c>
      <c r="F127" s="24">
        <f>SUM(F128:F138)-F130</f>
        <v>22164846</v>
      </c>
      <c r="G127" s="24">
        <f>SUM(G128:G138)-G130</f>
        <v>15543912</v>
      </c>
      <c r="H127" s="24">
        <f>SUM(H128:H138)-H130</f>
        <v>2041130</v>
      </c>
      <c r="I127" s="35"/>
      <c r="J127" s="24">
        <f t="shared" ref="J127:P127" si="17">SUM(J128:J138)-J130</f>
        <v>830470</v>
      </c>
      <c r="K127" s="24">
        <f t="shared" si="17"/>
        <v>46999</v>
      </c>
      <c r="L127" s="24">
        <f t="shared" si="17"/>
        <v>783471</v>
      </c>
      <c r="M127" s="24">
        <f t="shared" si="17"/>
        <v>577886</v>
      </c>
      <c r="N127" s="24">
        <f t="shared" si="17"/>
        <v>5000</v>
      </c>
      <c r="O127" s="24">
        <f t="shared" si="17"/>
        <v>46999</v>
      </c>
      <c r="P127" s="24">
        <f t="shared" si="17"/>
        <v>22995316</v>
      </c>
      <c r="Q127" s="17"/>
      <c r="R127" s="76"/>
      <c r="S127" s="76"/>
      <c r="T127" s="74"/>
    </row>
    <row r="128" spans="1:20" s="6" customFormat="1" ht="40.5" customHeight="1">
      <c r="A128" s="229" t="s">
        <v>424</v>
      </c>
      <c r="B128" s="62" t="s">
        <v>510</v>
      </c>
      <c r="C128" s="62" t="s">
        <v>35</v>
      </c>
      <c r="D128" s="21" t="s">
        <v>384</v>
      </c>
      <c r="E128" s="26">
        <f>703349-16000</f>
        <v>687349</v>
      </c>
      <c r="F128" s="27">
        <f t="shared" ref="F128:F138" si="18">E128-I128</f>
        <v>687349</v>
      </c>
      <c r="G128" s="26">
        <v>520216</v>
      </c>
      <c r="H128" s="26">
        <v>25950</v>
      </c>
      <c r="I128" s="27"/>
      <c r="J128" s="26"/>
      <c r="K128" s="26"/>
      <c r="L128" s="27"/>
      <c r="M128" s="26"/>
      <c r="N128" s="26"/>
      <c r="O128" s="26"/>
      <c r="P128" s="27">
        <f t="shared" ref="P128:P144" si="19">E128+J128</f>
        <v>687349</v>
      </c>
      <c r="Q128" s="17"/>
      <c r="R128" s="141"/>
      <c r="S128" s="141"/>
      <c r="T128" s="74"/>
    </row>
    <row r="129" spans="1:20" s="6" customFormat="1" ht="28.5" customHeight="1">
      <c r="A129" s="57" t="s">
        <v>385</v>
      </c>
      <c r="B129" s="20" t="s">
        <v>386</v>
      </c>
      <c r="C129" s="20" t="s">
        <v>43</v>
      </c>
      <c r="D129" s="21" t="s">
        <v>579</v>
      </c>
      <c r="E129" s="27">
        <f>10533618+34456-15999</f>
        <v>10552075</v>
      </c>
      <c r="F129" s="27">
        <f t="shared" si="18"/>
        <v>10552075</v>
      </c>
      <c r="G129" s="27">
        <f>7905175-18000+14553-76000-39000</f>
        <v>7786728</v>
      </c>
      <c r="H129" s="27">
        <f>785896+23000+1557</f>
        <v>810453</v>
      </c>
      <c r="I129" s="27"/>
      <c r="J129" s="27">
        <f>756481+15999</f>
        <v>772480</v>
      </c>
      <c r="K129" s="27">
        <v>15999</v>
      </c>
      <c r="L129" s="27">
        <f>J129-O129</f>
        <v>756481</v>
      </c>
      <c r="M129" s="27">
        <v>570886</v>
      </c>
      <c r="N129" s="27">
        <v>3000</v>
      </c>
      <c r="O129" s="27">
        <v>15999</v>
      </c>
      <c r="P129" s="27">
        <f t="shared" si="19"/>
        <v>11324555</v>
      </c>
      <c r="Q129" s="17"/>
      <c r="R129" s="141"/>
      <c r="S129" s="141"/>
      <c r="T129" s="74"/>
    </row>
    <row r="130" spans="1:20" s="6" customFormat="1" ht="28.5" customHeight="1">
      <c r="A130" s="20"/>
      <c r="B130" s="20"/>
      <c r="C130" s="66"/>
      <c r="D130" s="21" t="s">
        <v>524</v>
      </c>
      <c r="E130" s="27">
        <f>20193+34456</f>
        <v>54649</v>
      </c>
      <c r="F130" s="26">
        <f>E130-I130</f>
        <v>54649</v>
      </c>
      <c r="G130" s="27">
        <f>16551+14553</f>
        <v>31104</v>
      </c>
      <c r="H130" s="27">
        <v>1557</v>
      </c>
      <c r="I130" s="27"/>
      <c r="J130" s="27"/>
      <c r="K130" s="27"/>
      <c r="L130" s="27"/>
      <c r="M130" s="27"/>
      <c r="N130" s="27"/>
      <c r="O130" s="27"/>
      <c r="P130" s="27">
        <f t="shared" si="19"/>
        <v>54649</v>
      </c>
      <c r="Q130" s="17"/>
      <c r="R130" s="141"/>
      <c r="S130" s="141"/>
      <c r="T130" s="74"/>
    </row>
    <row r="131" spans="1:20" s="6" customFormat="1" ht="15.95" customHeight="1">
      <c r="A131" s="20" t="s">
        <v>23</v>
      </c>
      <c r="B131" s="20" t="s">
        <v>481</v>
      </c>
      <c r="C131" s="20" t="s">
        <v>45</v>
      </c>
      <c r="D131" s="22" t="s">
        <v>538</v>
      </c>
      <c r="E131" s="27">
        <f>2786757-15000+30000</f>
        <v>2801757</v>
      </c>
      <c r="F131" s="27">
        <f t="shared" si="18"/>
        <v>2801757</v>
      </c>
      <c r="G131" s="27">
        <f>1963957-10000</f>
        <v>1953957</v>
      </c>
      <c r="H131" s="27">
        <v>264138</v>
      </c>
      <c r="I131" s="27"/>
      <c r="J131" s="27">
        <f>2000+15000</f>
        <v>17000</v>
      </c>
      <c r="K131" s="27">
        <v>15000</v>
      </c>
      <c r="L131" s="27">
        <f>J131-O131</f>
        <v>2000</v>
      </c>
      <c r="M131" s="27"/>
      <c r="N131" s="27">
        <v>1000</v>
      </c>
      <c r="O131" s="27">
        <v>15000</v>
      </c>
      <c r="P131" s="27">
        <f t="shared" si="19"/>
        <v>2818757</v>
      </c>
      <c r="Q131" s="17"/>
      <c r="R131" s="141"/>
      <c r="S131" s="141"/>
      <c r="T131" s="74"/>
    </row>
    <row r="132" spans="1:20" s="6" customFormat="1" ht="16.5" customHeight="1">
      <c r="A132" s="20" t="s">
        <v>24</v>
      </c>
      <c r="B132" s="20" t="s">
        <v>482</v>
      </c>
      <c r="C132" s="20" t="s">
        <v>45</v>
      </c>
      <c r="D132" s="22" t="s">
        <v>539</v>
      </c>
      <c r="E132" s="27">
        <v>566271</v>
      </c>
      <c r="F132" s="27">
        <f t="shared" si="18"/>
        <v>566271</v>
      </c>
      <c r="G132" s="27">
        <f>388103-12000</f>
        <v>376103</v>
      </c>
      <c r="H132" s="27">
        <v>41234</v>
      </c>
      <c r="I132" s="27"/>
      <c r="J132" s="27">
        <f>450+16000</f>
        <v>16450</v>
      </c>
      <c r="K132" s="27">
        <v>16000</v>
      </c>
      <c r="L132" s="27">
        <f>J132-K132</f>
        <v>450</v>
      </c>
      <c r="M132" s="27"/>
      <c r="N132" s="27"/>
      <c r="O132" s="27">
        <v>16000</v>
      </c>
      <c r="P132" s="27">
        <f t="shared" si="19"/>
        <v>582721</v>
      </c>
      <c r="Q132" s="17"/>
      <c r="R132" s="141"/>
      <c r="S132" s="141"/>
      <c r="T132" s="74"/>
    </row>
    <row r="133" spans="1:20" s="6" customFormat="1" ht="40.5" customHeight="1">
      <c r="A133" s="20" t="s">
        <v>25</v>
      </c>
      <c r="B133" s="20" t="s">
        <v>96</v>
      </c>
      <c r="C133" s="20" t="s">
        <v>46</v>
      </c>
      <c r="D133" s="201" t="s">
        <v>540</v>
      </c>
      <c r="E133" s="27">
        <f>6139629+100000</f>
        <v>6239629</v>
      </c>
      <c r="F133" s="27">
        <f t="shared" si="18"/>
        <v>6239629</v>
      </c>
      <c r="G133" s="27">
        <v>4111640</v>
      </c>
      <c r="H133" s="27">
        <f>954946-100100</f>
        <v>854846</v>
      </c>
      <c r="I133" s="27"/>
      <c r="J133" s="27">
        <v>24540</v>
      </c>
      <c r="K133" s="27"/>
      <c r="L133" s="27">
        <f>J133-O133</f>
        <v>24540</v>
      </c>
      <c r="M133" s="27">
        <v>7000</v>
      </c>
      <c r="N133" s="27">
        <v>1000</v>
      </c>
      <c r="O133" s="27"/>
      <c r="P133" s="27">
        <f t="shared" si="19"/>
        <v>6264169</v>
      </c>
      <c r="Q133" s="17"/>
      <c r="R133" s="141"/>
      <c r="S133" s="141"/>
      <c r="T133" s="74"/>
    </row>
    <row r="134" spans="1:20" s="6" customFormat="1" ht="26.25" customHeight="1">
      <c r="A134" s="20" t="s">
        <v>26</v>
      </c>
      <c r="B134" s="20" t="s">
        <v>483</v>
      </c>
      <c r="C134" s="66" t="s">
        <v>47</v>
      </c>
      <c r="D134" s="200" t="s">
        <v>541</v>
      </c>
      <c r="E134" s="67">
        <v>962603</v>
      </c>
      <c r="F134" s="27">
        <f t="shared" si="18"/>
        <v>962603</v>
      </c>
      <c r="G134" s="27">
        <v>664872</v>
      </c>
      <c r="H134" s="27">
        <v>44509</v>
      </c>
      <c r="I134" s="27"/>
      <c r="J134" s="27"/>
      <c r="K134" s="27"/>
      <c r="L134" s="25"/>
      <c r="M134" s="27"/>
      <c r="N134" s="27"/>
      <c r="O134" s="27"/>
      <c r="P134" s="27">
        <f t="shared" si="19"/>
        <v>962603</v>
      </c>
      <c r="Q134" s="17"/>
      <c r="R134" s="141"/>
      <c r="S134" s="141"/>
      <c r="T134" s="74"/>
    </row>
    <row r="135" spans="1:20" s="6" customFormat="1" ht="18" customHeight="1">
      <c r="A135" s="20" t="s">
        <v>27</v>
      </c>
      <c r="B135" s="20" t="s">
        <v>484</v>
      </c>
      <c r="C135" s="66" t="s">
        <v>47</v>
      </c>
      <c r="D135" s="200" t="s">
        <v>542</v>
      </c>
      <c r="E135" s="67">
        <v>183925</v>
      </c>
      <c r="F135" s="27">
        <f t="shared" si="18"/>
        <v>183925</v>
      </c>
      <c r="G135" s="27">
        <v>50000</v>
      </c>
      <c r="H135" s="27"/>
      <c r="I135" s="27"/>
      <c r="J135" s="27"/>
      <c r="K135" s="27"/>
      <c r="L135" s="25"/>
      <c r="M135" s="27"/>
      <c r="N135" s="27"/>
      <c r="O135" s="27"/>
      <c r="P135" s="27">
        <f t="shared" si="19"/>
        <v>183925</v>
      </c>
      <c r="Q135" s="17"/>
      <c r="R135" s="141"/>
      <c r="S135" s="141"/>
      <c r="T135" s="74"/>
    </row>
    <row r="136" spans="1:20" s="6" customFormat="1" ht="47.25" customHeight="1">
      <c r="A136" s="20" t="s">
        <v>713</v>
      </c>
      <c r="B136" s="20" t="s">
        <v>714</v>
      </c>
      <c r="C136" s="66" t="s">
        <v>40</v>
      </c>
      <c r="D136" s="200" t="s">
        <v>715</v>
      </c>
      <c r="E136" s="67">
        <v>98086</v>
      </c>
      <c r="F136" s="27">
        <f t="shared" si="18"/>
        <v>98086</v>
      </c>
      <c r="G136" s="27">
        <v>80396</v>
      </c>
      <c r="H136" s="27"/>
      <c r="I136" s="27"/>
      <c r="J136" s="27"/>
      <c r="K136" s="27"/>
      <c r="L136" s="25"/>
      <c r="M136" s="27"/>
      <c r="N136" s="27"/>
      <c r="O136" s="27"/>
      <c r="P136" s="27">
        <f t="shared" si="19"/>
        <v>98086</v>
      </c>
      <c r="Q136" s="17"/>
      <c r="R136" s="141"/>
      <c r="S136" s="141"/>
      <c r="T136" s="74"/>
    </row>
    <row r="137" spans="1:20" s="6" customFormat="1" ht="51.75" customHeight="1">
      <c r="A137" s="20" t="s">
        <v>175</v>
      </c>
      <c r="B137" s="20" t="s">
        <v>520</v>
      </c>
      <c r="C137" s="20" t="s">
        <v>40</v>
      </c>
      <c r="D137" s="21" t="s">
        <v>458</v>
      </c>
      <c r="E137" s="67">
        <f>73151</f>
        <v>73151</v>
      </c>
      <c r="F137" s="27">
        <f t="shared" si="18"/>
        <v>73151</v>
      </c>
      <c r="G137" s="27"/>
      <c r="H137" s="27"/>
      <c r="I137" s="27"/>
      <c r="J137" s="27"/>
      <c r="K137" s="27"/>
      <c r="L137" s="25"/>
      <c r="M137" s="27"/>
      <c r="N137" s="27"/>
      <c r="O137" s="27"/>
      <c r="P137" s="27">
        <f t="shared" si="19"/>
        <v>73151</v>
      </c>
      <c r="Q137" s="17"/>
      <c r="R137" s="141"/>
      <c r="S137" s="141"/>
      <c r="T137" s="74"/>
    </row>
    <row r="138" spans="1:20" s="6" customFormat="1" ht="20.25" hidden="1" customHeight="1">
      <c r="A138" s="20" t="s">
        <v>136</v>
      </c>
      <c r="B138" s="20" t="s">
        <v>406</v>
      </c>
      <c r="C138" s="20" t="s">
        <v>407</v>
      </c>
      <c r="D138" s="21" t="s">
        <v>408</v>
      </c>
      <c r="E138" s="67"/>
      <c r="F138" s="27">
        <f t="shared" si="18"/>
        <v>0</v>
      </c>
      <c r="G138" s="27"/>
      <c r="H138" s="27"/>
      <c r="I138" s="27"/>
      <c r="J138" s="27"/>
      <c r="K138" s="27"/>
      <c r="L138" s="25"/>
      <c r="M138" s="27"/>
      <c r="N138" s="27"/>
      <c r="O138" s="27"/>
      <c r="P138" s="27">
        <f t="shared" si="19"/>
        <v>0</v>
      </c>
      <c r="Q138" s="17"/>
      <c r="R138" s="461"/>
      <c r="S138" s="461"/>
      <c r="T138" s="74"/>
    </row>
    <row r="139" spans="1:20" s="6" customFormat="1" ht="31.5" customHeight="1">
      <c r="A139" s="64" t="s">
        <v>57</v>
      </c>
      <c r="B139" s="20"/>
      <c r="C139" s="20"/>
      <c r="D139" s="44" t="s">
        <v>423</v>
      </c>
      <c r="E139" s="35">
        <f>E140</f>
        <v>6998263</v>
      </c>
      <c r="F139" s="35">
        <f>F140</f>
        <v>4433779</v>
      </c>
      <c r="G139" s="35">
        <f>G140</f>
        <v>2823387</v>
      </c>
      <c r="H139" s="35">
        <f>H140</f>
        <v>197616</v>
      </c>
      <c r="I139" s="35"/>
      <c r="J139" s="35"/>
      <c r="K139" s="35"/>
      <c r="L139" s="35"/>
      <c r="M139" s="27"/>
      <c r="N139" s="27"/>
      <c r="O139" s="35"/>
      <c r="P139" s="35">
        <f>P140</f>
        <v>6998263</v>
      </c>
      <c r="Q139" s="17"/>
      <c r="R139" s="462"/>
      <c r="S139" s="462"/>
      <c r="T139" s="74"/>
    </row>
    <row r="140" spans="1:20" s="6" customFormat="1" ht="31.5" customHeight="1">
      <c r="A140" s="64" t="s">
        <v>58</v>
      </c>
      <c r="B140" s="60"/>
      <c r="C140" s="60"/>
      <c r="D140" s="45" t="s">
        <v>423</v>
      </c>
      <c r="E140" s="24">
        <f>SUM(E141:E144)</f>
        <v>6998263</v>
      </c>
      <c r="F140" s="24">
        <f>SUM(F141:F144)</f>
        <v>4433779</v>
      </c>
      <c r="G140" s="24">
        <f>SUM(G141:G144)</f>
        <v>2823387</v>
      </c>
      <c r="H140" s="24">
        <f>SUM(H141:H144)</f>
        <v>197616</v>
      </c>
      <c r="I140" s="24"/>
      <c r="J140" s="24"/>
      <c r="K140" s="24"/>
      <c r="L140" s="24"/>
      <c r="M140" s="24"/>
      <c r="N140" s="24"/>
      <c r="O140" s="24"/>
      <c r="P140" s="24">
        <f>SUM(P141:P144)</f>
        <v>6998263</v>
      </c>
      <c r="Q140" s="17"/>
      <c r="R140" s="76"/>
      <c r="S140" s="76"/>
      <c r="T140" s="74"/>
    </row>
    <row r="141" spans="1:20" s="6" customFormat="1" ht="42" customHeight="1">
      <c r="A141" s="62" t="s">
        <v>485</v>
      </c>
      <c r="B141" s="62" t="s">
        <v>510</v>
      </c>
      <c r="C141" s="62" t="s">
        <v>35</v>
      </c>
      <c r="D141" s="21" t="s">
        <v>384</v>
      </c>
      <c r="E141" s="26">
        <f>3806596+27183</f>
        <v>3833779</v>
      </c>
      <c r="F141" s="27">
        <f>E141-I141</f>
        <v>3833779</v>
      </c>
      <c r="G141" s="26">
        <f>2781387+42000</f>
        <v>2823387</v>
      </c>
      <c r="H141" s="26">
        <f>194616+3000</f>
        <v>197616</v>
      </c>
      <c r="I141" s="26"/>
      <c r="J141" s="26"/>
      <c r="K141" s="26"/>
      <c r="L141" s="25"/>
      <c r="M141" s="24"/>
      <c r="N141" s="24"/>
      <c r="O141" s="26"/>
      <c r="P141" s="23">
        <f t="shared" si="19"/>
        <v>3833779</v>
      </c>
      <c r="Q141" s="17"/>
      <c r="R141" s="76"/>
      <c r="S141" s="76"/>
      <c r="T141" s="74"/>
    </row>
    <row r="142" spans="1:20" s="6" customFormat="1" ht="18.75" customHeight="1">
      <c r="A142" s="62" t="s">
        <v>421</v>
      </c>
      <c r="B142" s="62" t="s">
        <v>422</v>
      </c>
      <c r="C142" s="62" t="s">
        <v>36</v>
      </c>
      <c r="D142" s="21" t="s">
        <v>383</v>
      </c>
      <c r="E142" s="26">
        <f>924198-29750-150000+1820036</f>
        <v>2564484</v>
      </c>
      <c r="F142" s="26"/>
      <c r="G142" s="24"/>
      <c r="H142" s="24"/>
      <c r="I142" s="26"/>
      <c r="J142" s="26"/>
      <c r="K142" s="26"/>
      <c r="L142" s="25"/>
      <c r="M142" s="24"/>
      <c r="N142" s="24"/>
      <c r="O142" s="24"/>
      <c r="P142" s="23">
        <f t="shared" si="19"/>
        <v>2564484</v>
      </c>
      <c r="Q142" s="17"/>
      <c r="R142" s="76"/>
      <c r="S142" s="76"/>
      <c r="T142" s="74"/>
    </row>
    <row r="143" spans="1:20" s="6" customFormat="1" ht="29.25" hidden="1" customHeight="1">
      <c r="A143" s="20" t="s">
        <v>529</v>
      </c>
      <c r="B143" s="20" t="s">
        <v>582</v>
      </c>
      <c r="C143" s="20" t="s">
        <v>55</v>
      </c>
      <c r="D143" s="21" t="s">
        <v>530</v>
      </c>
      <c r="E143" s="26"/>
      <c r="F143" s="27"/>
      <c r="G143" s="24"/>
      <c r="H143" s="24"/>
      <c r="I143" s="26"/>
      <c r="J143" s="26"/>
      <c r="K143" s="26"/>
      <c r="L143" s="25"/>
      <c r="M143" s="24"/>
      <c r="N143" s="24"/>
      <c r="O143" s="26"/>
      <c r="P143" s="23">
        <f t="shared" si="19"/>
        <v>0</v>
      </c>
      <c r="Q143" s="17"/>
      <c r="R143" s="76"/>
      <c r="S143" s="76"/>
      <c r="T143" s="74"/>
    </row>
    <row r="144" spans="1:20" s="6" customFormat="1" ht="17.25" customHeight="1">
      <c r="A144" s="20" t="s">
        <v>59</v>
      </c>
      <c r="B144" s="20" t="s">
        <v>159</v>
      </c>
      <c r="C144" s="20" t="s">
        <v>55</v>
      </c>
      <c r="D144" s="21" t="s">
        <v>182</v>
      </c>
      <c r="E144" s="26">
        <v>600000</v>
      </c>
      <c r="F144" s="27">
        <f>E144-I144</f>
        <v>600000</v>
      </c>
      <c r="G144" s="24"/>
      <c r="H144" s="24"/>
      <c r="I144" s="26"/>
      <c r="J144" s="26"/>
      <c r="K144" s="26"/>
      <c r="L144" s="25"/>
      <c r="M144" s="24"/>
      <c r="N144" s="24"/>
      <c r="O144" s="26"/>
      <c r="P144" s="23">
        <f t="shared" si="19"/>
        <v>600000</v>
      </c>
      <c r="Q144" s="17"/>
      <c r="R144" s="463"/>
      <c r="S144" s="463"/>
      <c r="T144" s="74"/>
    </row>
    <row r="145" spans="1:20" s="6" customFormat="1" ht="15.95" customHeight="1">
      <c r="A145" s="20"/>
      <c r="B145" s="65"/>
      <c r="C145" s="65"/>
      <c r="D145" s="65" t="s">
        <v>114</v>
      </c>
      <c r="E145" s="426">
        <f t="shared" ref="E145:O145" si="20">E22+E96+E126+E139</f>
        <v>294492183.73000002</v>
      </c>
      <c r="F145" s="426">
        <f t="shared" si="20"/>
        <v>291927699.73000002</v>
      </c>
      <c r="G145" s="426">
        <f t="shared" si="20"/>
        <v>150093164</v>
      </c>
      <c r="H145" s="426">
        <f t="shared" si="20"/>
        <v>33388565.73</v>
      </c>
      <c r="I145" s="426">
        <f t="shared" si="20"/>
        <v>0</v>
      </c>
      <c r="J145" s="426">
        <f t="shared" si="20"/>
        <v>39382260</v>
      </c>
      <c r="K145" s="426">
        <f t="shared" si="20"/>
        <v>36417995</v>
      </c>
      <c r="L145" s="426">
        <f t="shared" si="20"/>
        <v>2898265</v>
      </c>
      <c r="M145" s="426">
        <f t="shared" si="20"/>
        <v>577886</v>
      </c>
      <c r="N145" s="426">
        <f t="shared" si="20"/>
        <v>6000</v>
      </c>
      <c r="O145" s="426">
        <f t="shared" si="20"/>
        <v>36383995</v>
      </c>
      <c r="P145" s="426">
        <f>E145+J145</f>
        <v>333874443.73000002</v>
      </c>
      <c r="Q145" s="17"/>
      <c r="R145" s="74"/>
      <c r="S145" s="74"/>
      <c r="T145" s="231"/>
    </row>
    <row r="146" spans="1:20" s="6" customFormat="1" ht="14.25" customHeight="1">
      <c r="A146" s="440"/>
      <c r="B146" s="3"/>
      <c r="C146" s="3"/>
      <c r="D146" s="1"/>
      <c r="E146" s="68"/>
      <c r="F146" s="68"/>
      <c r="G146" s="68"/>
      <c r="H146" s="68"/>
      <c r="I146" s="68"/>
      <c r="J146" s="68"/>
      <c r="K146" s="68"/>
      <c r="L146" s="68"/>
      <c r="M146" s="68"/>
      <c r="N146" s="68"/>
      <c r="O146" s="68"/>
      <c r="P146" s="68"/>
      <c r="Q146" s="17"/>
      <c r="R146" s="231"/>
      <c r="S146" s="74"/>
      <c r="T146" s="231"/>
    </row>
    <row r="147" spans="1:20" s="5" customFormat="1">
      <c r="A147" s="3"/>
      <c r="B147" s="3"/>
      <c r="C147" s="3"/>
      <c r="D147" s="11" t="s">
        <v>396</v>
      </c>
      <c r="E147" s="61"/>
      <c r="F147" s="61" t="s">
        <v>146</v>
      </c>
      <c r="G147" s="61"/>
      <c r="H147" s="61"/>
      <c r="I147" s="61"/>
      <c r="J147" s="61"/>
      <c r="K147" s="61"/>
      <c r="L147" s="61"/>
      <c r="M147" s="61"/>
      <c r="N147" s="61"/>
      <c r="O147" s="61"/>
      <c r="P147" s="61"/>
      <c r="Q147" s="17"/>
      <c r="R147" s="232"/>
      <c r="S147" s="74"/>
      <c r="T147" s="232"/>
    </row>
    <row r="148" spans="1:20">
      <c r="B148" s="11"/>
      <c r="C148" s="11"/>
      <c r="E148" s="470">
        <v>293422140.73000002</v>
      </c>
      <c r="F148" s="470">
        <v>276859917.73000002</v>
      </c>
      <c r="G148" s="470">
        <v>150111164</v>
      </c>
      <c r="H148" s="470">
        <v>33597938.730000004</v>
      </c>
      <c r="I148" s="470">
        <v>13997739</v>
      </c>
      <c r="J148" s="470">
        <v>35093921</v>
      </c>
      <c r="K148" s="470">
        <v>32195656</v>
      </c>
      <c r="L148" s="470">
        <v>2898265</v>
      </c>
      <c r="M148" s="470">
        <v>577886</v>
      </c>
      <c r="N148" s="470">
        <v>6000</v>
      </c>
      <c r="O148" s="470">
        <v>32195656</v>
      </c>
      <c r="P148" s="470">
        <v>328516061.73000002</v>
      </c>
      <c r="R148" s="71"/>
      <c r="S148" s="74"/>
    </row>
    <row r="149" spans="1:20">
      <c r="A149" s="11"/>
      <c r="B149" s="11"/>
      <c r="C149" s="11"/>
      <c r="E149" s="445">
        <f>E148-E145</f>
        <v>-1070043</v>
      </c>
      <c r="F149" s="425">
        <f t="shared" ref="F149:P149" si="21">F148-F145</f>
        <v>-15067782</v>
      </c>
      <c r="G149" s="425">
        <f t="shared" si="21"/>
        <v>18000</v>
      </c>
      <c r="H149" s="425">
        <f t="shared" si="21"/>
        <v>209373.00000000373</v>
      </c>
      <c r="I149" s="425">
        <f t="shared" si="21"/>
        <v>13997739</v>
      </c>
      <c r="J149" s="425">
        <f t="shared" si="21"/>
        <v>-4288339</v>
      </c>
      <c r="K149" s="425">
        <f t="shared" si="21"/>
        <v>-4222339</v>
      </c>
      <c r="L149" s="425">
        <f t="shared" si="21"/>
        <v>0</v>
      </c>
      <c r="M149" s="425">
        <f t="shared" si="21"/>
        <v>0</v>
      </c>
      <c r="N149" s="425">
        <f t="shared" si="21"/>
        <v>0</v>
      </c>
      <c r="O149" s="425">
        <f t="shared" si="21"/>
        <v>-4188339</v>
      </c>
      <c r="P149" s="425">
        <f t="shared" si="21"/>
        <v>-5358382</v>
      </c>
      <c r="R149" s="71"/>
      <c r="S149" s="74"/>
    </row>
    <row r="150" spans="1:20">
      <c r="A150" s="11"/>
      <c r="D150" s="46"/>
      <c r="E150" s="327">
        <v>8710</v>
      </c>
      <c r="F150" s="326">
        <f>E145-F145</f>
        <v>2564484</v>
      </c>
      <c r="G150" s="294">
        <f>E145-E142</f>
        <v>291927699.73000002</v>
      </c>
      <c r="H150" s="294">
        <f>E142/E145*100</f>
        <v>0.87081564186817328</v>
      </c>
      <c r="I150" s="294"/>
      <c r="J150" s="294">
        <f>J145-L145-O145</f>
        <v>100000</v>
      </c>
      <c r="K150" s="294"/>
      <c r="L150" s="294"/>
      <c r="M150" s="294"/>
      <c r="N150" s="294"/>
      <c r="O150" s="294"/>
      <c r="P150" s="294"/>
      <c r="R150" s="71"/>
      <c r="S150" s="74"/>
    </row>
    <row r="151" spans="1:20">
      <c r="D151" s="47"/>
      <c r="E151" s="50" t="s">
        <v>667</v>
      </c>
      <c r="F151" s="50" t="s">
        <v>668</v>
      </c>
      <c r="G151" s="47" t="s">
        <v>669</v>
      </c>
      <c r="H151" s="48"/>
      <c r="I151" s="48"/>
      <c r="J151" s="48"/>
      <c r="K151" s="48"/>
      <c r="L151" s="48"/>
      <c r="M151" s="48"/>
      <c r="N151" s="48"/>
      <c r="O151" s="48"/>
      <c r="P151" s="48"/>
      <c r="R151" s="71"/>
      <c r="S151" s="71"/>
    </row>
    <row r="152" spans="1:20">
      <c r="D152" s="1" t="s">
        <v>663</v>
      </c>
      <c r="E152" s="49">
        <f>'Додаток 1'!D134</f>
        <v>270278331.73000002</v>
      </c>
      <c r="F152" s="423">
        <f>'Додаток 1'!E134</f>
        <v>8654254</v>
      </c>
      <c r="G152" s="423">
        <f>'Додаток 1'!F134</f>
        <v>5964099</v>
      </c>
      <c r="H152" s="47"/>
      <c r="I152" s="47"/>
      <c r="J152" s="49"/>
      <c r="K152" s="49"/>
      <c r="L152" s="49"/>
      <c r="M152" s="10"/>
      <c r="N152" s="10"/>
      <c r="O152" s="10"/>
      <c r="P152" s="10"/>
      <c r="R152" s="71"/>
      <c r="S152" s="71"/>
    </row>
    <row r="153" spans="1:20">
      <c r="D153" s="1" t="s">
        <v>664</v>
      </c>
      <c r="E153" s="48">
        <f>E145</f>
        <v>294492183.73000002</v>
      </c>
      <c r="F153" s="48">
        <f>J145</f>
        <v>39382260</v>
      </c>
      <c r="G153" s="48">
        <f>K145</f>
        <v>36417995</v>
      </c>
      <c r="H153" s="48"/>
      <c r="I153" s="48"/>
      <c r="J153" s="48"/>
      <c r="K153" s="48"/>
      <c r="L153" s="48"/>
      <c r="M153" s="9"/>
      <c r="N153" s="9"/>
      <c r="O153" s="9"/>
      <c r="P153" s="9"/>
      <c r="R153" s="71"/>
      <c r="S153" s="71"/>
    </row>
    <row r="154" spans="1:20">
      <c r="D154" s="1" t="s">
        <v>665</v>
      </c>
      <c r="E154" s="424">
        <f>E152-E153</f>
        <v>-24213852</v>
      </c>
      <c r="F154" s="424">
        <f t="shared" ref="F154:G154" si="22">F152-F153</f>
        <v>-30728006</v>
      </c>
      <c r="G154" s="424">
        <f t="shared" si="22"/>
        <v>-30453896</v>
      </c>
      <c r="H154" s="48"/>
      <c r="I154" s="48"/>
      <c r="J154" s="47"/>
      <c r="K154" s="47"/>
      <c r="L154" s="47"/>
      <c r="R154" s="71"/>
      <c r="S154" s="71"/>
    </row>
    <row r="155" spans="1:20">
      <c r="D155" s="1">
        <v>208100</v>
      </c>
      <c r="E155" s="51">
        <f>'додаток 2 '!D22-'додаток 2 '!D23</f>
        <v>47183441</v>
      </c>
      <c r="F155" s="51">
        <f>'додаток 2 '!E22-'додаток 2 '!E23</f>
        <v>7758417</v>
      </c>
      <c r="G155" s="51">
        <f>'додаток 2 '!F22-'додаток 2 '!F23</f>
        <v>7484307</v>
      </c>
      <c r="H155" s="51"/>
      <c r="I155" s="51"/>
      <c r="J155" s="52"/>
      <c r="K155" s="52"/>
      <c r="L155" s="47"/>
      <c r="R155" s="71"/>
      <c r="S155" s="71"/>
    </row>
    <row r="156" spans="1:20">
      <c r="D156" s="1">
        <v>602400</v>
      </c>
      <c r="E156" s="53">
        <f>'додаток 2 '!D24</f>
        <v>-22969589</v>
      </c>
      <c r="F156" s="53">
        <f>'додаток 2 '!E24</f>
        <v>22969589</v>
      </c>
      <c r="G156" s="48">
        <f>'додаток 2 '!F24</f>
        <v>22969589</v>
      </c>
      <c r="H156" s="55"/>
      <c r="I156" s="47"/>
      <c r="J156" s="47"/>
      <c r="K156" s="47"/>
      <c r="L156" s="47"/>
      <c r="R156" s="71"/>
      <c r="S156" s="71"/>
    </row>
    <row r="157" spans="1:20">
      <c r="E157" s="53"/>
      <c r="F157" s="53"/>
      <c r="G157" s="48"/>
      <c r="H157" s="55"/>
      <c r="I157" s="48"/>
      <c r="J157" s="47"/>
      <c r="K157" s="47"/>
      <c r="L157" s="47"/>
      <c r="R157" s="71"/>
      <c r="S157" s="71"/>
    </row>
    <row r="158" spans="1:20">
      <c r="D158" s="1" t="s">
        <v>666</v>
      </c>
      <c r="E158" s="53">
        <f>E154+E155+E156</f>
        <v>0</v>
      </c>
      <c r="F158" s="53">
        <f t="shared" ref="F158:G158" si="23">F154+F155+F156</f>
        <v>0</v>
      </c>
      <c r="G158" s="53">
        <f t="shared" si="23"/>
        <v>0</v>
      </c>
      <c r="H158" s="53"/>
      <c r="I158" s="53">
        <f>F158-G158</f>
        <v>0</v>
      </c>
      <c r="J158" s="47"/>
      <c r="K158" s="47"/>
      <c r="L158" s="47"/>
      <c r="R158" s="71"/>
      <c r="S158" s="71"/>
    </row>
    <row r="159" spans="1:20">
      <c r="E159" s="53"/>
      <c r="F159" s="53"/>
      <c r="G159" s="53"/>
      <c r="H159" s="53"/>
      <c r="I159" s="53"/>
      <c r="J159" s="47"/>
      <c r="K159" s="47"/>
      <c r="L159" s="47"/>
      <c r="R159" s="71"/>
      <c r="S159" s="71"/>
    </row>
    <row r="160" spans="1:20">
      <c r="E160" s="53"/>
      <c r="F160" s="53"/>
      <c r="G160" s="53"/>
      <c r="H160" s="53"/>
      <c r="I160" s="48"/>
      <c r="J160" s="47"/>
      <c r="K160" s="47"/>
      <c r="L160" s="47"/>
      <c r="R160" s="71"/>
      <c r="S160" s="71"/>
    </row>
    <row r="161" spans="4:19">
      <c r="E161" s="53"/>
      <c r="F161" s="53"/>
      <c r="G161" s="53"/>
      <c r="H161" s="53"/>
      <c r="I161" s="48"/>
      <c r="J161" s="47"/>
      <c r="K161" s="47"/>
      <c r="L161" s="47"/>
      <c r="M161" s="47"/>
      <c r="N161" s="47"/>
      <c r="O161" s="47"/>
      <c r="P161" s="47"/>
      <c r="Q161" s="47"/>
      <c r="R161" s="71"/>
      <c r="S161" s="71"/>
    </row>
    <row r="162" spans="4:19">
      <c r="D162" s="71"/>
      <c r="E162" s="145"/>
      <c r="F162" s="145"/>
      <c r="G162" s="145"/>
      <c r="H162" s="145"/>
      <c r="I162" s="145"/>
      <c r="J162" s="145"/>
      <c r="K162" s="145"/>
      <c r="L162" s="145"/>
      <c r="M162" s="145"/>
      <c r="N162" s="145"/>
      <c r="O162" s="145"/>
      <c r="P162" s="145"/>
      <c r="Q162" s="47"/>
      <c r="R162" s="71"/>
      <c r="S162" s="71"/>
    </row>
    <row r="163" spans="4:19">
      <c r="D163" s="71"/>
      <c r="E163" s="53"/>
      <c r="F163" s="53"/>
      <c r="G163" s="53"/>
      <c r="H163" s="53"/>
      <c r="I163" s="53"/>
      <c r="J163" s="53"/>
      <c r="K163" s="53"/>
      <c r="L163" s="53"/>
      <c r="M163" s="53"/>
      <c r="N163" s="53"/>
      <c r="O163" s="53"/>
      <c r="P163" s="53"/>
      <c r="Q163" s="47"/>
      <c r="R163" s="71"/>
      <c r="S163" s="71"/>
    </row>
    <row r="164" spans="4:19">
      <c r="D164" s="71"/>
      <c r="E164" s="53"/>
      <c r="F164" s="53"/>
      <c r="G164" s="53"/>
      <c r="H164" s="53"/>
      <c r="I164" s="53"/>
      <c r="J164" s="53"/>
      <c r="K164" s="53"/>
      <c r="L164" s="53"/>
      <c r="M164" s="53"/>
      <c r="N164" s="53"/>
      <c r="O164" s="53"/>
      <c r="P164" s="53"/>
      <c r="Q164" s="47"/>
      <c r="R164" s="71"/>
      <c r="S164" s="71"/>
    </row>
    <row r="165" spans="4:19">
      <c r="D165" s="71"/>
      <c r="E165" s="72"/>
      <c r="F165" s="72"/>
      <c r="G165" s="72"/>
      <c r="H165" s="72"/>
      <c r="I165" s="72"/>
      <c r="J165" s="72"/>
      <c r="K165" s="72"/>
      <c r="L165" s="72"/>
      <c r="M165" s="72"/>
      <c r="N165" s="72"/>
      <c r="O165" s="72"/>
      <c r="P165" s="72"/>
      <c r="Q165" s="71"/>
      <c r="R165" s="71"/>
      <c r="S165" s="71"/>
    </row>
    <row r="166" spans="4:19">
      <c r="D166" s="71"/>
      <c r="E166" s="72"/>
      <c r="F166" s="72"/>
      <c r="G166" s="72"/>
      <c r="H166" s="72"/>
      <c r="I166" s="72"/>
      <c r="J166" s="72"/>
      <c r="K166" s="72"/>
      <c r="L166" s="72"/>
      <c r="M166" s="72"/>
      <c r="N166" s="72"/>
      <c r="O166" s="72"/>
      <c r="P166" s="72"/>
      <c r="Q166" s="71"/>
      <c r="R166" s="71"/>
      <c r="S166" s="71"/>
    </row>
    <row r="167" spans="4:19">
      <c r="D167" s="71"/>
      <c r="E167" s="72"/>
      <c r="F167" s="72"/>
      <c r="G167" s="72"/>
      <c r="H167" s="72"/>
      <c r="I167" s="72"/>
      <c r="J167" s="72"/>
      <c r="K167" s="72"/>
      <c r="L167" s="72"/>
      <c r="M167" s="72"/>
      <c r="N167" s="72"/>
      <c r="O167" s="72"/>
      <c r="P167" s="72"/>
      <c r="Q167" s="71"/>
      <c r="R167" s="71"/>
      <c r="S167" s="71"/>
    </row>
    <row r="168" spans="4:19">
      <c r="D168" s="71"/>
      <c r="E168" s="72"/>
      <c r="F168" s="72"/>
      <c r="G168" s="72"/>
      <c r="H168" s="72"/>
      <c r="I168" s="72"/>
      <c r="J168" s="72"/>
      <c r="K168" s="72"/>
      <c r="L168" s="72"/>
      <c r="M168" s="72"/>
      <c r="N168" s="72"/>
      <c r="O168" s="72"/>
      <c r="P168" s="72"/>
      <c r="Q168" s="71"/>
      <c r="R168" s="71"/>
      <c r="S168" s="71"/>
    </row>
    <row r="169" spans="4:19">
      <c r="D169" s="71"/>
      <c r="E169" s="72"/>
      <c r="F169" s="72"/>
      <c r="G169" s="72"/>
      <c r="H169" s="72"/>
      <c r="I169" s="72"/>
      <c r="J169" s="72"/>
      <c r="K169" s="72"/>
      <c r="L169" s="72"/>
      <c r="M169" s="72"/>
      <c r="N169" s="72"/>
      <c r="O169" s="72"/>
      <c r="P169" s="72"/>
      <c r="Q169" s="71"/>
      <c r="R169" s="71"/>
      <c r="S169" s="71"/>
    </row>
    <row r="170" spans="4:19">
      <c r="D170" s="78"/>
      <c r="E170" s="54"/>
      <c r="F170" s="54"/>
      <c r="G170" s="54"/>
      <c r="H170" s="54"/>
      <c r="I170" s="54"/>
      <c r="J170" s="54"/>
      <c r="K170" s="54"/>
      <c r="L170" s="54"/>
      <c r="M170" s="54"/>
      <c r="N170" s="54"/>
      <c r="O170" s="54"/>
      <c r="P170" s="54"/>
      <c r="Q170" s="71"/>
      <c r="R170" s="71"/>
      <c r="S170" s="71"/>
    </row>
    <row r="171" spans="4:19">
      <c r="D171" s="78"/>
      <c r="E171" s="54"/>
      <c r="F171" s="54"/>
      <c r="G171" s="54"/>
      <c r="H171" s="54"/>
      <c r="I171" s="54"/>
      <c r="J171" s="54"/>
      <c r="K171" s="54"/>
      <c r="L171" s="54"/>
      <c r="M171" s="54"/>
      <c r="N171" s="54"/>
      <c r="O171" s="54"/>
      <c r="P171" s="54"/>
      <c r="Q171" s="71"/>
      <c r="R171" s="71"/>
      <c r="S171" s="71"/>
    </row>
    <row r="172" spans="4:19">
      <c r="D172" s="71"/>
      <c r="E172" s="48"/>
      <c r="F172" s="48"/>
      <c r="G172" s="48"/>
      <c r="H172" s="48"/>
      <c r="I172" s="48"/>
      <c r="J172" s="48"/>
      <c r="K172" s="48"/>
      <c r="L172" s="48"/>
      <c r="M172" s="48"/>
      <c r="N172" s="48"/>
      <c r="O172" s="48"/>
      <c r="P172" s="48"/>
      <c r="Q172" s="71"/>
      <c r="R172" s="71"/>
      <c r="S172" s="71"/>
    </row>
    <row r="173" spans="4:19">
      <c r="D173" s="71"/>
      <c r="E173" s="48"/>
      <c r="F173" s="48"/>
      <c r="G173" s="48"/>
      <c r="H173" s="48"/>
      <c r="I173" s="48"/>
      <c r="J173" s="48"/>
      <c r="K173" s="48"/>
      <c r="L173" s="48"/>
      <c r="M173" s="48"/>
      <c r="N173" s="48"/>
      <c r="O173" s="48"/>
      <c r="P173" s="48"/>
      <c r="Q173" s="71"/>
      <c r="R173" s="71"/>
      <c r="S173" s="71"/>
    </row>
    <row r="174" spans="4:19">
      <c r="D174" s="71"/>
      <c r="E174" s="48"/>
      <c r="F174" s="48"/>
      <c r="G174" s="48"/>
      <c r="H174" s="48"/>
      <c r="I174" s="48"/>
      <c r="J174" s="48"/>
      <c r="K174" s="48"/>
      <c r="L174" s="48"/>
      <c r="M174" s="48"/>
      <c r="N174" s="48"/>
      <c r="O174" s="48"/>
      <c r="P174" s="48"/>
      <c r="Q174" s="71"/>
      <c r="R174" s="71"/>
      <c r="S174" s="71"/>
    </row>
    <row r="175" spans="4:19">
      <c r="D175" s="71"/>
      <c r="E175" s="48"/>
      <c r="F175" s="48"/>
      <c r="G175" s="48"/>
      <c r="H175" s="48"/>
      <c r="I175" s="48"/>
      <c r="J175" s="48"/>
      <c r="K175" s="48"/>
      <c r="L175" s="48"/>
      <c r="M175" s="48"/>
      <c r="N175" s="48"/>
      <c r="O175" s="48"/>
      <c r="P175" s="48"/>
      <c r="Q175" s="71"/>
      <c r="R175" s="71"/>
      <c r="S175" s="71"/>
    </row>
    <row r="176" spans="4:19">
      <c r="D176" s="71"/>
      <c r="E176" s="72"/>
      <c r="F176" s="72"/>
      <c r="G176" s="72"/>
      <c r="H176" s="72"/>
      <c r="I176" s="72"/>
      <c r="J176" s="72"/>
      <c r="K176" s="72"/>
      <c r="L176" s="72"/>
      <c r="M176" s="72"/>
      <c r="N176" s="72"/>
      <c r="O176" s="72"/>
      <c r="P176" s="72"/>
      <c r="Q176" s="71"/>
    </row>
    <row r="177" spans="4:17">
      <c r="D177" s="71"/>
      <c r="E177" s="48"/>
      <c r="F177" s="48"/>
      <c r="G177" s="48"/>
      <c r="H177" s="48"/>
      <c r="I177" s="48"/>
      <c r="J177" s="48"/>
      <c r="K177" s="48"/>
      <c r="L177" s="48"/>
      <c r="M177" s="48"/>
      <c r="N177" s="48"/>
      <c r="O177" s="48"/>
      <c r="P177" s="48"/>
      <c r="Q177" s="71"/>
    </row>
    <row r="178" spans="4:17">
      <c r="D178" s="71"/>
      <c r="E178" s="48"/>
      <c r="F178" s="48"/>
      <c r="G178" s="48"/>
      <c r="H178" s="48"/>
      <c r="I178" s="48"/>
      <c r="J178" s="47"/>
      <c r="K178" s="47"/>
      <c r="L178" s="47"/>
      <c r="M178" s="71"/>
      <c r="N178" s="71"/>
      <c r="O178" s="71"/>
      <c r="P178" s="71"/>
      <c r="Q178" s="71"/>
    </row>
    <row r="179" spans="4:17">
      <c r="D179" s="71"/>
      <c r="E179" s="47"/>
      <c r="F179" s="47"/>
      <c r="G179" s="47"/>
      <c r="H179" s="47"/>
      <c r="I179" s="47"/>
      <c r="J179" s="47"/>
      <c r="K179" s="47"/>
      <c r="L179" s="47"/>
      <c r="M179" s="71"/>
      <c r="N179" s="71"/>
      <c r="O179" s="71"/>
      <c r="P179" s="71"/>
      <c r="Q179" s="71"/>
    </row>
    <row r="180" spans="4:17">
      <c r="D180" s="71"/>
      <c r="E180" s="73"/>
      <c r="F180" s="48"/>
      <c r="G180" s="48"/>
      <c r="H180" s="48"/>
      <c r="I180" s="48"/>
      <c r="J180" s="47"/>
      <c r="K180" s="47"/>
      <c r="L180" s="47"/>
      <c r="M180" s="71"/>
      <c r="N180" s="71"/>
      <c r="O180" s="71"/>
      <c r="P180" s="71"/>
      <c r="Q180" s="71"/>
    </row>
    <row r="181" spans="4:17">
      <c r="D181" s="71"/>
      <c r="E181" s="47"/>
      <c r="F181" s="47"/>
      <c r="G181" s="47"/>
      <c r="H181" s="47"/>
      <c r="I181" s="47"/>
      <c r="J181" s="47"/>
      <c r="K181" s="47"/>
      <c r="L181" s="47"/>
      <c r="M181" s="71"/>
      <c r="N181" s="71"/>
      <c r="O181" s="71"/>
      <c r="P181" s="71"/>
      <c r="Q181" s="71"/>
    </row>
    <row r="182" spans="4:17">
      <c r="D182" s="71"/>
      <c r="E182" s="47"/>
      <c r="F182" s="47"/>
      <c r="G182" s="47"/>
      <c r="H182" s="47"/>
      <c r="I182" s="47"/>
      <c r="J182" s="47"/>
      <c r="K182" s="47"/>
      <c r="L182" s="47"/>
      <c r="M182" s="71"/>
      <c r="N182" s="71"/>
      <c r="O182" s="71"/>
      <c r="P182" s="71"/>
      <c r="Q182" s="71"/>
    </row>
    <row r="183" spans="4:17">
      <c r="D183" s="71"/>
      <c r="E183" s="47"/>
      <c r="F183" s="47"/>
      <c r="G183" s="48"/>
      <c r="H183" s="48"/>
      <c r="I183" s="47"/>
      <c r="J183" s="47"/>
      <c r="K183" s="47"/>
      <c r="L183" s="47"/>
      <c r="M183" s="71"/>
      <c r="N183" s="71"/>
      <c r="O183" s="71"/>
      <c r="P183" s="71"/>
      <c r="Q183" s="71"/>
    </row>
    <row r="184" spans="4:17">
      <c r="D184" s="71"/>
      <c r="E184" s="47"/>
      <c r="F184" s="48"/>
      <c r="G184" s="48"/>
      <c r="H184" s="48"/>
      <c r="I184" s="47"/>
      <c r="J184" s="48"/>
      <c r="K184" s="48"/>
      <c r="L184" s="48"/>
      <c r="M184" s="74"/>
      <c r="N184" s="74"/>
      <c r="O184" s="74"/>
      <c r="P184" s="74"/>
      <c r="Q184" s="71"/>
    </row>
    <row r="185" spans="4:17">
      <c r="D185" s="47"/>
      <c r="E185" s="48"/>
      <c r="F185" s="48"/>
      <c r="G185" s="48"/>
      <c r="H185" s="48"/>
      <c r="I185" s="47"/>
      <c r="J185" s="48"/>
      <c r="K185" s="48"/>
      <c r="L185" s="48"/>
      <c r="M185" s="74"/>
      <c r="N185" s="74"/>
      <c r="O185" s="74"/>
      <c r="P185" s="74"/>
      <c r="Q185" s="71"/>
    </row>
    <row r="186" spans="4:17">
      <c r="D186" s="71"/>
      <c r="E186" s="47"/>
      <c r="F186" s="47"/>
      <c r="G186" s="47"/>
      <c r="H186" s="47"/>
      <c r="I186" s="47"/>
      <c r="J186" s="47"/>
      <c r="K186" s="47"/>
      <c r="L186" s="47"/>
      <c r="M186" s="71"/>
      <c r="N186" s="71"/>
      <c r="O186" s="71"/>
      <c r="P186" s="71"/>
      <c r="Q186" s="71"/>
    </row>
    <row r="187" spans="4:17">
      <c r="D187" s="71"/>
      <c r="E187" s="55"/>
      <c r="F187" s="47"/>
      <c r="G187" s="47"/>
      <c r="H187" s="47"/>
      <c r="I187" s="47"/>
      <c r="J187" s="47"/>
      <c r="K187" s="47"/>
      <c r="L187" s="47"/>
      <c r="M187" s="71"/>
      <c r="N187" s="71"/>
      <c r="O187" s="71"/>
      <c r="P187" s="71"/>
      <c r="Q187" s="71"/>
    </row>
    <row r="188" spans="4:17">
      <c r="D188" s="47"/>
      <c r="E188" s="55"/>
      <c r="F188" s="47"/>
      <c r="G188" s="47"/>
      <c r="H188" s="48"/>
      <c r="I188" s="47"/>
      <c r="J188" s="47"/>
      <c r="K188" s="47"/>
      <c r="L188" s="47"/>
      <c r="M188" s="71"/>
      <c r="N188" s="71"/>
      <c r="O188" s="71"/>
      <c r="P188" s="71"/>
      <c r="Q188" s="71"/>
    </row>
    <row r="189" spans="4:17">
      <c r="D189" s="47"/>
      <c r="E189" s="47"/>
      <c r="F189" s="47"/>
      <c r="G189" s="47"/>
      <c r="H189" s="47"/>
      <c r="I189" s="47"/>
      <c r="J189" s="47"/>
      <c r="K189" s="47"/>
      <c r="L189" s="47"/>
      <c r="M189" s="71"/>
      <c r="N189" s="71"/>
      <c r="O189" s="71"/>
      <c r="P189" s="71"/>
      <c r="Q189" s="71"/>
    </row>
    <row r="190" spans="4:17">
      <c r="D190" s="47"/>
      <c r="E190" s="47"/>
      <c r="F190" s="47"/>
      <c r="G190" s="47"/>
      <c r="H190" s="47"/>
      <c r="I190" s="47"/>
      <c r="J190" s="47"/>
      <c r="K190" s="47"/>
      <c r="L190" s="47"/>
      <c r="M190" s="71"/>
      <c r="N190" s="71"/>
      <c r="O190" s="71"/>
      <c r="P190" s="71"/>
      <c r="Q190" s="71"/>
    </row>
    <row r="191" spans="4:17">
      <c r="D191" s="47"/>
      <c r="E191" s="47"/>
      <c r="F191" s="47"/>
      <c r="G191" s="47"/>
      <c r="H191" s="47"/>
      <c r="I191" s="47"/>
      <c r="J191" s="47"/>
      <c r="K191" s="47"/>
      <c r="L191" s="47"/>
      <c r="M191" s="71"/>
      <c r="N191" s="71"/>
      <c r="O191" s="71"/>
      <c r="P191" s="71"/>
      <c r="Q191" s="71"/>
    </row>
    <row r="192" spans="4:17">
      <c r="D192" s="47"/>
      <c r="E192" s="48"/>
      <c r="F192" s="48"/>
      <c r="G192" s="48"/>
      <c r="H192" s="48"/>
      <c r="I192" s="75"/>
      <c r="J192" s="47"/>
      <c r="K192" s="47"/>
      <c r="L192" s="47"/>
      <c r="M192" s="71"/>
      <c r="N192" s="71"/>
      <c r="O192" s="71"/>
      <c r="P192" s="71"/>
      <c r="Q192" s="71"/>
    </row>
    <row r="193" spans="4:17">
      <c r="D193" s="47"/>
      <c r="E193" s="47"/>
      <c r="F193" s="47"/>
      <c r="G193" s="47"/>
      <c r="H193" s="47"/>
      <c r="I193" s="47"/>
      <c r="J193" s="47"/>
      <c r="K193" s="47"/>
      <c r="L193" s="47"/>
      <c r="M193" s="71"/>
      <c r="N193" s="71"/>
      <c r="O193" s="71"/>
      <c r="P193" s="71"/>
      <c r="Q193" s="71"/>
    </row>
    <row r="194" spans="4:17">
      <c r="D194" s="47"/>
      <c r="E194" s="48"/>
      <c r="F194" s="47"/>
      <c r="G194" s="47"/>
      <c r="H194" s="47"/>
      <c r="I194" s="47"/>
      <c r="J194" s="47"/>
      <c r="K194" s="47"/>
      <c r="L194" s="47"/>
      <c r="M194" s="71"/>
      <c r="N194" s="71"/>
      <c r="O194" s="71"/>
      <c r="P194" s="71"/>
      <c r="Q194" s="71"/>
    </row>
    <row r="195" spans="4:17">
      <c r="D195" s="47"/>
      <c r="E195" s="47"/>
      <c r="F195" s="47"/>
      <c r="G195" s="47"/>
      <c r="H195" s="47"/>
      <c r="I195" s="47"/>
      <c r="J195" s="47"/>
      <c r="K195" s="47"/>
      <c r="L195" s="47"/>
      <c r="M195" s="71"/>
      <c r="N195" s="71"/>
      <c r="O195" s="71"/>
      <c r="P195" s="71"/>
      <c r="Q195" s="71"/>
    </row>
    <row r="196" spans="4:17">
      <c r="D196" s="47"/>
      <c r="E196" s="48"/>
      <c r="F196" s="48"/>
      <c r="G196" s="48"/>
      <c r="H196" s="48"/>
      <c r="I196" s="48"/>
      <c r="J196" s="47"/>
      <c r="K196" s="47"/>
      <c r="L196" s="47"/>
      <c r="M196" s="71"/>
      <c r="N196" s="71"/>
      <c r="O196" s="71"/>
      <c r="P196" s="71"/>
      <c r="Q196" s="71"/>
    </row>
    <row r="197" spans="4:17">
      <c r="D197" s="47"/>
      <c r="E197" s="47"/>
      <c r="F197" s="47"/>
      <c r="G197" s="47"/>
      <c r="H197" s="47"/>
      <c r="I197" s="47"/>
      <c r="J197" s="47"/>
      <c r="K197" s="47"/>
      <c r="L197" s="47"/>
      <c r="M197" s="71"/>
      <c r="N197" s="71"/>
      <c r="O197" s="71"/>
      <c r="P197" s="71"/>
      <c r="Q197" s="71"/>
    </row>
    <row r="198" spans="4:17">
      <c r="D198" s="47"/>
      <c r="E198" s="47"/>
      <c r="F198" s="47"/>
      <c r="G198" s="47"/>
      <c r="H198" s="47"/>
      <c r="I198" s="47"/>
      <c r="J198" s="47"/>
      <c r="K198" s="47"/>
      <c r="L198" s="47"/>
      <c r="M198" s="71"/>
      <c r="N198" s="71"/>
      <c r="O198" s="71"/>
      <c r="P198" s="71"/>
      <c r="Q198" s="71"/>
    </row>
    <row r="199" spans="4:17">
      <c r="D199" s="47"/>
      <c r="E199" s="47"/>
      <c r="F199" s="47"/>
      <c r="G199" s="47"/>
      <c r="H199" s="47"/>
      <c r="I199" s="47"/>
      <c r="J199" s="47"/>
      <c r="K199" s="47"/>
      <c r="L199" s="47"/>
      <c r="M199" s="71"/>
      <c r="N199" s="71"/>
      <c r="O199" s="71"/>
      <c r="P199" s="71"/>
      <c r="Q199" s="71"/>
    </row>
    <row r="200" spans="4:17">
      <c r="D200" s="71"/>
      <c r="E200" s="47"/>
      <c r="F200" s="47"/>
      <c r="G200" s="47"/>
      <c r="H200" s="47"/>
      <c r="I200" s="47"/>
      <c r="J200" s="47"/>
      <c r="K200" s="47"/>
      <c r="L200" s="47"/>
      <c r="M200" s="71"/>
      <c r="N200" s="71"/>
      <c r="O200" s="71"/>
      <c r="P200" s="71"/>
      <c r="Q200" s="71"/>
    </row>
    <row r="201" spans="4:17">
      <c r="D201" s="71"/>
      <c r="E201" s="73"/>
      <c r="F201" s="48"/>
      <c r="G201" s="48"/>
      <c r="H201" s="48"/>
      <c r="I201" s="48"/>
      <c r="J201" s="48"/>
      <c r="K201" s="48"/>
      <c r="L201" s="71"/>
      <c r="M201" s="71"/>
      <c r="N201" s="71"/>
      <c r="O201" s="71"/>
      <c r="P201" s="71"/>
      <c r="Q201" s="71"/>
    </row>
    <row r="202" spans="4:17">
      <c r="D202" s="71"/>
      <c r="E202" s="47"/>
      <c r="F202" s="47"/>
      <c r="G202" s="47"/>
      <c r="H202" s="47"/>
      <c r="I202" s="47"/>
      <c r="J202" s="47"/>
      <c r="K202" s="47"/>
      <c r="L202" s="71"/>
      <c r="M202" s="71"/>
      <c r="N202" s="71"/>
      <c r="O202" s="71"/>
      <c r="P202" s="71"/>
      <c r="Q202" s="71"/>
    </row>
    <row r="203" spans="4:17">
      <c r="D203" s="71"/>
      <c r="E203" s="47"/>
      <c r="F203" s="47"/>
      <c r="G203" s="47"/>
      <c r="H203" s="47"/>
      <c r="I203" s="47"/>
      <c r="J203" s="47"/>
      <c r="K203" s="47"/>
      <c r="L203" s="71"/>
      <c r="M203" s="71"/>
      <c r="N203" s="71"/>
      <c r="O203" s="71"/>
      <c r="P203" s="71"/>
      <c r="Q203" s="71"/>
    </row>
    <row r="204" spans="4:17">
      <c r="D204" s="71"/>
      <c r="E204" s="47"/>
      <c r="F204" s="47"/>
      <c r="G204" s="48"/>
      <c r="H204" s="48"/>
      <c r="I204" s="47"/>
      <c r="J204" s="47"/>
      <c r="K204" s="47"/>
      <c r="L204" s="71"/>
      <c r="M204" s="71"/>
      <c r="N204" s="71"/>
      <c r="O204" s="71"/>
      <c r="P204" s="71"/>
      <c r="Q204" s="71"/>
    </row>
    <row r="205" spans="4:17">
      <c r="D205" s="71"/>
      <c r="E205" s="47"/>
      <c r="F205" s="48"/>
      <c r="G205" s="48"/>
      <c r="H205" s="48"/>
      <c r="I205" s="47"/>
      <c r="J205" s="47"/>
      <c r="K205" s="47"/>
      <c r="L205" s="71"/>
      <c r="M205" s="71"/>
      <c r="N205" s="71"/>
      <c r="O205" s="71"/>
      <c r="P205" s="71"/>
      <c r="Q205" s="71"/>
    </row>
    <row r="206" spans="4:17">
      <c r="D206" s="47"/>
      <c r="E206" s="48"/>
      <c r="F206" s="48"/>
      <c r="G206" s="48"/>
      <c r="H206" s="48"/>
      <c r="I206" s="48"/>
      <c r="J206" s="47"/>
      <c r="K206" s="47"/>
      <c r="L206" s="71"/>
      <c r="M206" s="71"/>
      <c r="N206" s="71"/>
      <c r="O206" s="71"/>
      <c r="P206" s="71"/>
      <c r="Q206" s="71"/>
    </row>
    <row r="207" spans="4:17">
      <c r="D207" s="71"/>
      <c r="E207" s="47"/>
      <c r="F207" s="47"/>
      <c r="G207" s="47"/>
      <c r="H207" s="47"/>
      <c r="I207" s="47"/>
      <c r="J207" s="47"/>
      <c r="K207" s="47"/>
      <c r="L207" s="71"/>
      <c r="M207" s="71"/>
      <c r="N207" s="71"/>
      <c r="O207" s="71"/>
      <c r="P207" s="71"/>
      <c r="Q207" s="71"/>
    </row>
    <row r="208" spans="4:17">
      <c r="D208" s="71"/>
      <c r="E208" s="55"/>
      <c r="F208" s="47"/>
      <c r="G208" s="47"/>
      <c r="H208" s="47"/>
      <c r="I208" s="47"/>
      <c r="J208" s="47"/>
      <c r="K208" s="47"/>
      <c r="L208" s="71"/>
      <c r="M208" s="71"/>
      <c r="N208" s="71"/>
      <c r="O208" s="71"/>
      <c r="P208" s="71"/>
      <c r="Q208" s="71"/>
    </row>
    <row r="209" spans="4:17">
      <c r="D209" s="47"/>
      <c r="E209" s="55"/>
      <c r="F209" s="47"/>
      <c r="G209" s="47"/>
      <c r="H209" s="48"/>
      <c r="I209" s="47"/>
      <c r="J209" s="47"/>
      <c r="K209" s="47"/>
      <c r="L209" s="71"/>
      <c r="M209" s="71"/>
      <c r="N209" s="71"/>
      <c r="O209" s="71"/>
      <c r="P209" s="71"/>
      <c r="Q209" s="71"/>
    </row>
    <row r="210" spans="4:17">
      <c r="D210" s="47"/>
      <c r="E210" s="47"/>
      <c r="F210" s="47"/>
      <c r="G210" s="47"/>
      <c r="H210" s="47"/>
      <c r="I210" s="47"/>
      <c r="J210" s="47"/>
      <c r="K210" s="47"/>
      <c r="L210" s="71"/>
      <c r="M210" s="71"/>
      <c r="N210" s="71"/>
      <c r="O210" s="71"/>
      <c r="P210" s="71"/>
      <c r="Q210" s="71"/>
    </row>
    <row r="211" spans="4:17">
      <c r="D211" s="47"/>
      <c r="E211" s="47"/>
      <c r="F211" s="47"/>
      <c r="G211" s="47"/>
      <c r="H211" s="47"/>
      <c r="I211" s="47"/>
      <c r="J211" s="47"/>
      <c r="K211" s="47"/>
      <c r="L211" s="71"/>
      <c r="M211" s="71"/>
      <c r="N211" s="71"/>
      <c r="O211" s="71"/>
      <c r="P211" s="71"/>
      <c r="Q211" s="71"/>
    </row>
    <row r="212" spans="4:17">
      <c r="D212" s="47"/>
      <c r="E212" s="47"/>
      <c r="F212" s="47"/>
      <c r="G212" s="47"/>
      <c r="H212" s="47"/>
      <c r="I212" s="47"/>
      <c r="J212" s="47"/>
      <c r="K212" s="47"/>
      <c r="L212" s="71"/>
      <c r="M212" s="71"/>
      <c r="N212" s="71"/>
      <c r="O212" s="71"/>
      <c r="P212" s="71"/>
      <c r="Q212" s="71"/>
    </row>
    <row r="213" spans="4:17">
      <c r="D213" s="47"/>
      <c r="E213" s="47"/>
      <c r="F213" s="47"/>
      <c r="G213" s="47"/>
      <c r="H213" s="47"/>
      <c r="I213" s="47"/>
      <c r="J213" s="47"/>
      <c r="K213" s="47"/>
      <c r="L213" s="71"/>
      <c r="M213" s="71"/>
      <c r="N213" s="71"/>
      <c r="O213" s="71"/>
      <c r="P213" s="71"/>
      <c r="Q213" s="71"/>
    </row>
    <row r="214" spans="4:17">
      <c r="D214" s="47"/>
      <c r="E214" s="48"/>
      <c r="F214" s="48"/>
      <c r="G214" s="48"/>
      <c r="H214" s="48"/>
      <c r="I214" s="75"/>
      <c r="J214" s="75"/>
      <c r="K214" s="75"/>
      <c r="L214" s="71"/>
      <c r="M214" s="71"/>
      <c r="N214" s="71"/>
      <c r="O214" s="71"/>
      <c r="P214" s="71"/>
      <c r="Q214" s="71"/>
    </row>
    <row r="215" spans="4:17">
      <c r="D215" s="47"/>
      <c r="E215" s="47"/>
      <c r="F215" s="47"/>
      <c r="G215" s="47"/>
      <c r="H215" s="47"/>
      <c r="I215" s="47"/>
      <c r="J215" s="47"/>
      <c r="K215" s="47"/>
      <c r="L215" s="71"/>
      <c r="M215" s="71"/>
      <c r="N215" s="71"/>
      <c r="O215" s="71"/>
      <c r="P215" s="71"/>
      <c r="Q215" s="71"/>
    </row>
    <row r="216" spans="4:17">
      <c r="D216" s="47"/>
      <c r="E216" s="76"/>
      <c r="F216" s="48"/>
      <c r="G216" s="48"/>
      <c r="H216" s="48"/>
      <c r="I216" s="47"/>
      <c r="J216" s="47"/>
      <c r="K216" s="47"/>
      <c r="L216" s="71"/>
      <c r="M216" s="71"/>
      <c r="N216" s="71"/>
      <c r="O216" s="71"/>
      <c r="P216" s="71"/>
      <c r="Q216" s="71"/>
    </row>
    <row r="217" spans="4:17">
      <c r="D217" s="47"/>
      <c r="E217" s="47"/>
      <c r="F217" s="47"/>
      <c r="G217" s="47"/>
      <c r="H217" s="47"/>
      <c r="I217" s="47"/>
      <c r="J217" s="47"/>
      <c r="K217" s="47"/>
      <c r="L217" s="71"/>
      <c r="M217" s="71"/>
      <c r="N217" s="71"/>
      <c r="O217" s="71"/>
      <c r="P217" s="71"/>
      <c r="Q217" s="71"/>
    </row>
    <row r="218" spans="4:17">
      <c r="D218" s="47"/>
      <c r="E218" s="48"/>
      <c r="F218" s="48"/>
      <c r="G218" s="48"/>
      <c r="H218" s="48"/>
      <c r="I218" s="75"/>
      <c r="J218" s="47"/>
      <c r="K218" s="47"/>
      <c r="L218" s="71"/>
      <c r="M218" s="71"/>
      <c r="N218" s="71"/>
      <c r="O218" s="71"/>
      <c r="P218" s="71"/>
      <c r="Q218" s="71"/>
    </row>
    <row r="219" spans="4:17">
      <c r="D219" s="71"/>
      <c r="E219" s="71"/>
      <c r="F219" s="71"/>
      <c r="G219" s="71"/>
      <c r="H219" s="71"/>
      <c r="I219" s="71"/>
      <c r="J219" s="71"/>
      <c r="K219" s="71"/>
      <c r="L219" s="71"/>
      <c r="M219" s="71"/>
      <c r="N219" s="71"/>
      <c r="O219" s="71"/>
      <c r="P219" s="71"/>
      <c r="Q219" s="71"/>
    </row>
    <row r="220" spans="4:17">
      <c r="D220" s="71"/>
      <c r="E220" s="71"/>
      <c r="F220" s="71"/>
      <c r="G220" s="71"/>
      <c r="H220" s="71"/>
      <c r="I220" s="71"/>
      <c r="J220" s="71"/>
      <c r="K220" s="71"/>
      <c r="L220" s="71"/>
      <c r="M220" s="71"/>
      <c r="N220" s="71"/>
      <c r="O220" s="71"/>
      <c r="P220" s="71"/>
      <c r="Q220" s="71"/>
    </row>
    <row r="221" spans="4:17">
      <c r="D221" s="71"/>
      <c r="E221" s="71"/>
      <c r="F221" s="71"/>
      <c r="G221" s="71"/>
      <c r="H221" s="71"/>
      <c r="I221" s="71"/>
      <c r="J221" s="71"/>
      <c r="K221" s="71"/>
      <c r="L221" s="71"/>
      <c r="M221" s="71"/>
      <c r="N221" s="71"/>
      <c r="O221" s="71"/>
      <c r="P221" s="71"/>
      <c r="Q221" s="71"/>
    </row>
    <row r="222" spans="4:17">
      <c r="D222" s="71"/>
      <c r="E222" s="71"/>
      <c r="F222" s="71"/>
      <c r="G222" s="71"/>
      <c r="H222" s="71"/>
      <c r="I222" s="71"/>
      <c r="J222" s="71"/>
      <c r="K222" s="71"/>
      <c r="L222" s="71"/>
      <c r="M222" s="71"/>
      <c r="N222" s="71"/>
      <c r="O222" s="71"/>
      <c r="P222" s="71"/>
      <c r="Q222" s="71"/>
    </row>
    <row r="223" spans="4:17">
      <c r="D223" s="71"/>
      <c r="E223" s="71"/>
      <c r="F223" s="71"/>
      <c r="G223" s="71"/>
      <c r="H223" s="71"/>
      <c r="I223" s="71"/>
      <c r="J223" s="71"/>
      <c r="K223" s="71"/>
      <c r="L223" s="71"/>
      <c r="M223" s="71"/>
      <c r="N223" s="71"/>
      <c r="O223" s="71"/>
      <c r="P223" s="71"/>
      <c r="Q223" s="71"/>
    </row>
    <row r="224" spans="4:17">
      <c r="D224" s="71"/>
      <c r="E224" s="71"/>
      <c r="F224" s="71"/>
      <c r="G224" s="71"/>
      <c r="H224" s="71"/>
      <c r="I224" s="71"/>
      <c r="J224" s="71"/>
      <c r="K224" s="71"/>
      <c r="L224" s="71"/>
      <c r="M224" s="71"/>
      <c r="N224" s="71"/>
      <c r="O224" s="71"/>
      <c r="P224" s="71"/>
      <c r="Q224" s="71"/>
    </row>
    <row r="225" spans="4:17">
      <c r="D225" s="71"/>
      <c r="E225" s="71"/>
      <c r="F225" s="71"/>
      <c r="G225" s="71"/>
      <c r="H225" s="71"/>
      <c r="I225" s="71"/>
      <c r="J225" s="71"/>
      <c r="K225" s="71"/>
      <c r="L225" s="71"/>
      <c r="M225" s="71"/>
      <c r="N225" s="71"/>
      <c r="O225" s="71"/>
      <c r="P225" s="71"/>
      <c r="Q225" s="71"/>
    </row>
    <row r="226" spans="4:17">
      <c r="D226" s="71"/>
      <c r="E226" s="71"/>
      <c r="F226" s="71"/>
      <c r="G226" s="71"/>
      <c r="H226" s="71"/>
      <c r="I226" s="71"/>
      <c r="J226" s="71"/>
      <c r="K226" s="71"/>
      <c r="L226" s="71"/>
      <c r="M226" s="71"/>
      <c r="N226" s="71"/>
      <c r="O226" s="71"/>
      <c r="P226" s="71"/>
      <c r="Q226" s="71"/>
    </row>
    <row r="227" spans="4:17">
      <c r="D227" s="71"/>
      <c r="E227" s="71"/>
      <c r="F227" s="71"/>
      <c r="G227" s="71"/>
      <c r="H227" s="71"/>
      <c r="I227" s="71"/>
      <c r="J227" s="71"/>
      <c r="K227" s="71"/>
      <c r="L227" s="71"/>
      <c r="M227" s="71"/>
      <c r="N227" s="71"/>
      <c r="O227" s="71"/>
      <c r="P227" s="71"/>
      <c r="Q227" s="71"/>
    </row>
    <row r="228" spans="4:17">
      <c r="D228" s="71"/>
      <c r="E228" s="71"/>
      <c r="F228" s="71"/>
      <c r="G228" s="71"/>
      <c r="H228" s="71"/>
      <c r="I228" s="71"/>
      <c r="J228" s="71"/>
      <c r="K228" s="71"/>
      <c r="L228" s="71"/>
      <c r="M228" s="71"/>
      <c r="N228" s="71"/>
      <c r="O228" s="71"/>
      <c r="P228" s="71"/>
      <c r="Q228" s="71"/>
    </row>
    <row r="229" spans="4:17">
      <c r="D229" s="71"/>
      <c r="E229" s="71"/>
      <c r="F229" s="71"/>
      <c r="G229" s="71"/>
      <c r="H229" s="71"/>
      <c r="I229" s="71"/>
      <c r="J229" s="71"/>
      <c r="K229" s="71"/>
      <c r="L229" s="71"/>
      <c r="M229" s="71"/>
      <c r="N229" s="71"/>
      <c r="O229" s="71"/>
      <c r="P229" s="71"/>
      <c r="Q229" s="71"/>
    </row>
    <row r="230" spans="4:17">
      <c r="D230" s="71"/>
      <c r="E230" s="71"/>
      <c r="F230" s="71"/>
      <c r="G230" s="71"/>
      <c r="H230" s="71"/>
      <c r="I230" s="71"/>
      <c r="J230" s="71"/>
      <c r="K230" s="71"/>
      <c r="L230" s="71"/>
      <c r="M230" s="71"/>
      <c r="N230" s="71"/>
      <c r="O230" s="71"/>
      <c r="P230" s="71"/>
      <c r="Q230" s="71"/>
    </row>
    <row r="231" spans="4:17">
      <c r="D231" s="71"/>
      <c r="E231" s="71"/>
      <c r="F231" s="71"/>
      <c r="G231" s="71"/>
      <c r="H231" s="71"/>
      <c r="I231" s="71"/>
      <c r="J231" s="71"/>
      <c r="K231" s="71"/>
      <c r="L231" s="71"/>
      <c r="M231" s="71"/>
      <c r="N231" s="71"/>
      <c r="O231" s="71"/>
      <c r="P231" s="71"/>
      <c r="Q231" s="71"/>
    </row>
    <row r="232" spans="4:17">
      <c r="D232" s="71"/>
      <c r="E232" s="71"/>
      <c r="F232" s="71"/>
      <c r="G232" s="71"/>
      <c r="H232" s="71"/>
      <c r="I232" s="71"/>
      <c r="J232" s="71"/>
      <c r="K232" s="71"/>
      <c r="L232" s="71"/>
      <c r="M232" s="71"/>
      <c r="N232" s="71"/>
      <c r="O232" s="71"/>
      <c r="P232" s="71"/>
      <c r="Q232" s="71"/>
    </row>
    <row r="233" spans="4:17">
      <c r="D233" s="71"/>
      <c r="E233" s="71"/>
      <c r="F233" s="71"/>
      <c r="G233" s="71"/>
      <c r="H233" s="71"/>
      <c r="I233" s="71"/>
      <c r="J233" s="71"/>
      <c r="K233" s="71"/>
      <c r="L233" s="71"/>
      <c r="M233" s="71"/>
      <c r="N233" s="71"/>
      <c r="O233" s="71"/>
      <c r="P233" s="71"/>
      <c r="Q233" s="71"/>
    </row>
    <row r="234" spans="4:17">
      <c r="D234" s="71"/>
      <c r="E234" s="71"/>
      <c r="F234" s="71"/>
      <c r="G234" s="71"/>
      <c r="H234" s="71"/>
      <c r="I234" s="71"/>
      <c r="J234" s="71"/>
      <c r="K234" s="71"/>
      <c r="L234" s="71"/>
      <c r="M234" s="71"/>
      <c r="N234" s="71"/>
      <c r="O234" s="71"/>
      <c r="P234" s="71"/>
      <c r="Q234" s="71"/>
    </row>
    <row r="235" spans="4:17">
      <c r="D235" s="71"/>
      <c r="E235" s="71"/>
      <c r="F235" s="71"/>
      <c r="G235" s="71"/>
      <c r="H235" s="71"/>
      <c r="I235" s="71"/>
      <c r="J235" s="71"/>
      <c r="K235" s="71"/>
      <c r="L235" s="71"/>
      <c r="M235" s="71"/>
      <c r="N235" s="71"/>
      <c r="O235" s="71"/>
      <c r="P235" s="71"/>
      <c r="Q235" s="71"/>
    </row>
    <row r="236" spans="4:17">
      <c r="D236" s="71"/>
      <c r="E236" s="71"/>
      <c r="F236" s="71"/>
      <c r="G236" s="71"/>
      <c r="H236" s="71"/>
      <c r="I236" s="71"/>
      <c r="J236" s="71"/>
      <c r="K236" s="71"/>
      <c r="L236" s="71"/>
      <c r="M236" s="71"/>
      <c r="N236" s="71"/>
      <c r="O236" s="71"/>
      <c r="P236" s="71"/>
      <c r="Q236" s="71"/>
    </row>
    <row r="237" spans="4:17">
      <c r="D237" s="71"/>
      <c r="E237" s="71"/>
      <c r="F237" s="71"/>
      <c r="G237" s="71"/>
      <c r="H237" s="71"/>
      <c r="I237" s="71"/>
      <c r="J237" s="71"/>
      <c r="K237" s="71"/>
      <c r="L237" s="71"/>
      <c r="M237" s="71"/>
      <c r="N237" s="71"/>
      <c r="O237" s="71"/>
      <c r="P237" s="71"/>
      <c r="Q237" s="71"/>
    </row>
    <row r="238" spans="4:17">
      <c r="D238" s="71"/>
      <c r="E238" s="71"/>
      <c r="F238" s="71"/>
      <c r="G238" s="71"/>
      <c r="H238" s="71"/>
      <c r="I238" s="71"/>
      <c r="J238" s="71"/>
      <c r="K238" s="71"/>
      <c r="L238" s="71"/>
      <c r="M238" s="71"/>
      <c r="N238" s="71"/>
      <c r="O238" s="71"/>
      <c r="P238" s="71"/>
      <c r="Q238" s="71"/>
    </row>
    <row r="239" spans="4:17">
      <c r="D239" s="71"/>
      <c r="E239" s="71"/>
      <c r="F239" s="71"/>
      <c r="G239" s="71"/>
      <c r="H239" s="71"/>
      <c r="I239" s="71"/>
      <c r="J239" s="71"/>
      <c r="K239" s="71"/>
      <c r="L239" s="71"/>
      <c r="M239" s="71"/>
      <c r="N239" s="71"/>
      <c r="O239" s="71"/>
      <c r="P239" s="71"/>
      <c r="Q239" s="71"/>
    </row>
    <row r="240" spans="4:17">
      <c r="D240" s="71"/>
      <c r="E240" s="71"/>
      <c r="F240" s="71"/>
      <c r="G240" s="71"/>
      <c r="H240" s="71"/>
      <c r="I240" s="71"/>
      <c r="J240" s="71"/>
      <c r="K240" s="71"/>
      <c r="L240" s="71"/>
      <c r="M240" s="71"/>
      <c r="N240" s="71"/>
      <c r="O240" s="71"/>
      <c r="P240" s="71"/>
      <c r="Q240" s="71"/>
    </row>
    <row r="241" spans="4:17">
      <c r="D241" s="71"/>
      <c r="E241" s="71"/>
      <c r="F241" s="71"/>
      <c r="G241" s="71"/>
      <c r="H241" s="71"/>
      <c r="I241" s="71"/>
      <c r="J241" s="71"/>
      <c r="K241" s="71"/>
      <c r="L241" s="71"/>
      <c r="M241" s="71"/>
      <c r="N241" s="71"/>
      <c r="O241" s="71"/>
      <c r="P241" s="71"/>
      <c r="Q241" s="71"/>
    </row>
    <row r="242" spans="4:17">
      <c r="D242" s="71"/>
      <c r="E242" s="71"/>
      <c r="F242" s="71"/>
      <c r="G242" s="71"/>
      <c r="H242" s="71"/>
      <c r="I242" s="71"/>
      <c r="J242" s="71"/>
      <c r="K242" s="71"/>
      <c r="L242" s="71"/>
      <c r="M242" s="71"/>
      <c r="N242" s="71"/>
      <c r="O242" s="71"/>
      <c r="P242" s="71"/>
      <c r="Q242" s="71"/>
    </row>
    <row r="243" spans="4:17">
      <c r="D243" s="71"/>
      <c r="E243" s="71"/>
      <c r="F243" s="71"/>
      <c r="G243" s="71"/>
      <c r="H243" s="71"/>
      <c r="I243" s="71"/>
      <c r="J243" s="71"/>
      <c r="K243" s="71"/>
      <c r="L243" s="71"/>
      <c r="M243" s="71"/>
      <c r="N243" s="71"/>
      <c r="O243" s="71"/>
      <c r="P243" s="71"/>
      <c r="Q243" s="71"/>
    </row>
    <row r="244" spans="4:17">
      <c r="D244" s="71"/>
      <c r="E244" s="71"/>
      <c r="F244" s="71"/>
      <c r="G244" s="71"/>
      <c r="H244" s="71"/>
      <c r="I244" s="71"/>
      <c r="J244" s="71"/>
      <c r="K244" s="71"/>
      <c r="L244" s="71"/>
      <c r="M244" s="71"/>
      <c r="N244" s="71"/>
      <c r="O244" s="71"/>
      <c r="P244" s="71"/>
      <c r="Q244" s="71"/>
    </row>
    <row r="245" spans="4:17">
      <c r="D245" s="71"/>
      <c r="E245" s="71"/>
      <c r="F245" s="71"/>
      <c r="G245" s="71"/>
      <c r="H245" s="71"/>
      <c r="I245" s="71"/>
      <c r="J245" s="71"/>
      <c r="K245" s="71"/>
      <c r="L245" s="71"/>
      <c r="M245" s="71"/>
      <c r="N245" s="71"/>
      <c r="O245" s="71"/>
      <c r="P245" s="71"/>
      <c r="Q245" s="71"/>
    </row>
    <row r="246" spans="4:17">
      <c r="D246" s="71"/>
      <c r="E246" s="71"/>
      <c r="F246" s="71"/>
      <c r="G246" s="71"/>
      <c r="H246" s="71"/>
      <c r="I246" s="71"/>
      <c r="J246" s="71"/>
      <c r="K246" s="71"/>
      <c r="L246" s="71"/>
      <c r="M246" s="71"/>
      <c r="N246" s="71"/>
      <c r="O246" s="71"/>
      <c r="P246" s="71"/>
      <c r="Q246" s="71"/>
    </row>
    <row r="247" spans="4:17">
      <c r="D247" s="71"/>
      <c r="E247" s="71"/>
      <c r="F247" s="71"/>
      <c r="G247" s="71"/>
      <c r="H247" s="71"/>
      <c r="I247" s="71"/>
      <c r="J247" s="71"/>
      <c r="K247" s="71"/>
      <c r="L247" s="71"/>
      <c r="M247" s="71"/>
      <c r="N247" s="71"/>
      <c r="O247" s="71"/>
      <c r="P247" s="71"/>
      <c r="Q247" s="71"/>
    </row>
    <row r="248" spans="4:17">
      <c r="D248" s="71"/>
      <c r="E248" s="71"/>
      <c r="F248" s="71"/>
      <c r="G248" s="71"/>
      <c r="H248" s="71"/>
      <c r="I248" s="71"/>
      <c r="J248" s="71"/>
      <c r="K248" s="71"/>
      <c r="L248" s="71"/>
      <c r="M248" s="71"/>
      <c r="N248" s="71"/>
      <c r="O248" s="71"/>
      <c r="P248" s="71"/>
      <c r="Q248" s="71"/>
    </row>
    <row r="249" spans="4:17">
      <c r="D249" s="71"/>
      <c r="E249" s="71"/>
      <c r="F249" s="71"/>
      <c r="G249" s="71"/>
      <c r="H249" s="71"/>
      <c r="I249" s="71"/>
      <c r="J249" s="71"/>
      <c r="K249" s="71"/>
      <c r="L249" s="71"/>
      <c r="M249" s="71"/>
      <c r="N249" s="71"/>
      <c r="O249" s="71"/>
      <c r="P249" s="71"/>
      <c r="Q249" s="71"/>
    </row>
    <row r="250" spans="4:17">
      <c r="D250" s="71"/>
      <c r="E250" s="71"/>
      <c r="F250" s="71"/>
      <c r="G250" s="71"/>
      <c r="H250" s="71"/>
      <c r="I250" s="71"/>
      <c r="J250" s="71"/>
      <c r="K250" s="71"/>
      <c r="L250" s="71"/>
      <c r="M250" s="71"/>
      <c r="N250" s="71"/>
      <c r="O250" s="71"/>
      <c r="P250" s="71"/>
      <c r="Q250" s="71"/>
    </row>
    <row r="251" spans="4:17">
      <c r="D251" s="71"/>
      <c r="E251" s="71"/>
      <c r="F251" s="71"/>
      <c r="G251" s="71"/>
      <c r="H251" s="71"/>
      <c r="I251" s="71"/>
      <c r="J251" s="71"/>
      <c r="K251" s="71"/>
      <c r="L251" s="71"/>
      <c r="M251" s="71"/>
      <c r="N251" s="71"/>
      <c r="O251" s="71"/>
      <c r="P251" s="71"/>
      <c r="Q251" s="71"/>
    </row>
    <row r="252" spans="4:17">
      <c r="D252" s="71"/>
      <c r="E252" s="71"/>
      <c r="F252" s="71"/>
      <c r="G252" s="71"/>
      <c r="H252" s="71"/>
      <c r="I252" s="71"/>
      <c r="J252" s="71"/>
      <c r="K252" s="71"/>
      <c r="L252" s="71"/>
      <c r="M252" s="71"/>
      <c r="N252" s="71"/>
      <c r="O252" s="71"/>
      <c r="P252" s="71"/>
      <c r="Q252" s="71"/>
    </row>
    <row r="253" spans="4:17">
      <c r="D253" s="71"/>
      <c r="E253" s="71"/>
      <c r="F253" s="71"/>
      <c r="G253" s="71"/>
      <c r="H253" s="71"/>
      <c r="I253" s="71"/>
      <c r="J253" s="71"/>
      <c r="K253" s="71"/>
      <c r="L253" s="71"/>
      <c r="M253" s="71"/>
      <c r="N253" s="71"/>
      <c r="O253" s="71"/>
      <c r="P253" s="71"/>
      <c r="Q253" s="71"/>
    </row>
    <row r="254" spans="4:17">
      <c r="D254" s="71"/>
      <c r="E254" s="71"/>
      <c r="F254" s="71"/>
      <c r="G254" s="71"/>
      <c r="H254" s="71"/>
      <c r="I254" s="71"/>
      <c r="J254" s="71"/>
      <c r="K254" s="71"/>
      <c r="L254" s="71"/>
      <c r="M254" s="71"/>
      <c r="N254" s="71"/>
      <c r="O254" s="71"/>
      <c r="P254" s="71"/>
      <c r="Q254" s="71"/>
    </row>
    <row r="255" spans="4:17">
      <c r="D255" s="71"/>
      <c r="E255" s="71"/>
      <c r="F255" s="71"/>
      <c r="G255" s="71"/>
      <c r="H255" s="71"/>
      <c r="I255" s="71"/>
      <c r="J255" s="71"/>
      <c r="K255" s="71"/>
      <c r="L255" s="71"/>
      <c r="M255" s="71"/>
      <c r="N255" s="71"/>
      <c r="O255" s="71"/>
      <c r="P255" s="71"/>
      <c r="Q255" s="71"/>
    </row>
    <row r="256" spans="4:17">
      <c r="D256" s="71"/>
      <c r="E256" s="71"/>
      <c r="F256" s="71"/>
      <c r="G256" s="71"/>
      <c r="H256" s="71"/>
      <c r="I256" s="71"/>
      <c r="J256" s="71"/>
      <c r="K256" s="71"/>
      <c r="L256" s="71"/>
      <c r="M256" s="71"/>
      <c r="N256" s="71"/>
      <c r="O256" s="71"/>
      <c r="P256" s="71"/>
      <c r="Q256" s="71"/>
    </row>
    <row r="257" spans="4:17">
      <c r="D257" s="71"/>
      <c r="E257" s="71"/>
      <c r="F257" s="71"/>
      <c r="G257" s="71"/>
      <c r="H257" s="71"/>
      <c r="I257" s="71"/>
      <c r="J257" s="71"/>
      <c r="K257" s="71"/>
      <c r="L257" s="71"/>
      <c r="M257" s="71"/>
      <c r="N257" s="71"/>
      <c r="O257" s="71"/>
      <c r="P257" s="71"/>
      <c r="Q257" s="71"/>
    </row>
    <row r="258" spans="4:17">
      <c r="D258" s="71"/>
      <c r="E258" s="71"/>
      <c r="F258" s="71"/>
      <c r="G258" s="71"/>
      <c r="H258" s="71"/>
      <c r="I258" s="71"/>
      <c r="J258" s="71"/>
      <c r="K258" s="71"/>
      <c r="L258" s="71"/>
      <c r="M258" s="71"/>
      <c r="N258" s="71"/>
      <c r="O258" s="71"/>
      <c r="P258" s="71"/>
      <c r="Q258" s="71"/>
    </row>
    <row r="259" spans="4:17">
      <c r="D259" s="71"/>
      <c r="E259" s="71"/>
      <c r="F259" s="71"/>
      <c r="G259" s="71"/>
      <c r="H259" s="71"/>
      <c r="I259" s="71"/>
      <c r="J259" s="71"/>
      <c r="K259" s="71"/>
      <c r="L259" s="71"/>
      <c r="M259" s="71"/>
      <c r="N259" s="71"/>
      <c r="O259" s="71"/>
      <c r="P259" s="71"/>
      <c r="Q259" s="71"/>
    </row>
    <row r="260" spans="4:17">
      <c r="D260" s="71"/>
      <c r="E260" s="71"/>
      <c r="F260" s="71"/>
      <c r="G260" s="71"/>
      <c r="H260" s="71"/>
      <c r="I260" s="71"/>
      <c r="J260" s="71"/>
      <c r="K260" s="71"/>
      <c r="L260" s="71"/>
      <c r="M260" s="71"/>
      <c r="N260" s="71"/>
      <c r="O260" s="71"/>
      <c r="P260" s="71"/>
      <c r="Q260" s="71"/>
    </row>
    <row r="261" spans="4:17">
      <c r="D261" s="71"/>
      <c r="E261" s="71"/>
      <c r="F261" s="71"/>
      <c r="G261" s="71"/>
      <c r="H261" s="71"/>
      <c r="I261" s="71"/>
      <c r="J261" s="71"/>
      <c r="K261" s="71"/>
      <c r="L261" s="71"/>
      <c r="M261" s="71"/>
      <c r="N261" s="71"/>
      <c r="O261" s="71"/>
      <c r="P261" s="71"/>
      <c r="Q261" s="71"/>
    </row>
    <row r="262" spans="4:17">
      <c r="D262" s="71"/>
      <c r="E262" s="71"/>
      <c r="F262" s="71"/>
      <c r="G262" s="71"/>
      <c r="H262" s="71"/>
      <c r="I262" s="71"/>
      <c r="J262" s="71"/>
      <c r="K262" s="71"/>
      <c r="L262" s="71"/>
      <c r="M262" s="71"/>
      <c r="N262" s="71"/>
      <c r="O262" s="71"/>
      <c r="P262" s="71"/>
      <c r="Q262" s="71"/>
    </row>
    <row r="263" spans="4:17">
      <c r="D263" s="71"/>
      <c r="E263" s="71"/>
      <c r="F263" s="71"/>
      <c r="G263" s="71"/>
      <c r="H263" s="71"/>
      <c r="I263" s="71"/>
      <c r="J263" s="71"/>
      <c r="K263" s="71"/>
      <c r="L263" s="71"/>
      <c r="M263" s="71"/>
      <c r="N263" s="71"/>
      <c r="O263" s="71"/>
      <c r="P263" s="71"/>
      <c r="Q263" s="71"/>
    </row>
    <row r="264" spans="4:17">
      <c r="D264" s="71"/>
      <c r="E264" s="71"/>
      <c r="F264" s="71"/>
      <c r="G264" s="71"/>
      <c r="H264" s="71"/>
      <c r="I264" s="71"/>
      <c r="J264" s="71"/>
      <c r="K264" s="71"/>
      <c r="L264" s="71"/>
      <c r="M264" s="71"/>
      <c r="N264" s="71"/>
      <c r="O264" s="71"/>
      <c r="P264" s="71"/>
      <c r="Q264" s="71"/>
    </row>
    <row r="265" spans="4:17">
      <c r="D265" s="71"/>
      <c r="E265" s="71"/>
      <c r="F265" s="71"/>
      <c r="G265" s="71"/>
      <c r="H265" s="71"/>
      <c r="I265" s="71"/>
      <c r="J265" s="71"/>
      <c r="K265" s="71"/>
      <c r="L265" s="71"/>
      <c r="M265" s="71"/>
      <c r="N265" s="71"/>
      <c r="O265" s="71"/>
      <c r="P265" s="71"/>
      <c r="Q265" s="71"/>
    </row>
    <row r="266" spans="4:17">
      <c r="D266" s="71"/>
      <c r="E266" s="71"/>
      <c r="F266" s="71"/>
      <c r="G266" s="71"/>
      <c r="H266" s="71"/>
      <c r="I266" s="71"/>
      <c r="J266" s="71"/>
      <c r="K266" s="71"/>
      <c r="L266" s="71"/>
      <c r="M266" s="71"/>
      <c r="N266" s="71"/>
      <c r="O266" s="71"/>
      <c r="P266" s="71"/>
      <c r="Q266" s="71"/>
    </row>
    <row r="267" spans="4:17">
      <c r="D267" s="71"/>
      <c r="E267" s="71"/>
      <c r="F267" s="71"/>
      <c r="G267" s="71"/>
      <c r="H267" s="71"/>
      <c r="I267" s="71"/>
      <c r="J267" s="71"/>
      <c r="K267" s="71"/>
      <c r="L267" s="71"/>
      <c r="M267" s="71"/>
      <c r="N267" s="71"/>
      <c r="O267" s="71"/>
      <c r="P267" s="71"/>
      <c r="Q267" s="71"/>
    </row>
  </sheetData>
  <mergeCells count="21">
    <mergeCell ref="L5:O5"/>
    <mergeCell ref="M19:M20"/>
    <mergeCell ref="J13:O17"/>
    <mergeCell ref="I18:I20"/>
    <mergeCell ref="O18:O20"/>
    <mergeCell ref="M18:N18"/>
    <mergeCell ref="N19:N20"/>
    <mergeCell ref="P13:P20"/>
    <mergeCell ref="K19:K20"/>
    <mergeCell ref="G18:H18"/>
    <mergeCell ref="H19:H20"/>
    <mergeCell ref="J18:J20"/>
    <mergeCell ref="L18:L20"/>
    <mergeCell ref="A13:A20"/>
    <mergeCell ref="D13:D20"/>
    <mergeCell ref="E18:E20"/>
    <mergeCell ref="F18:F20"/>
    <mergeCell ref="B13:B20"/>
    <mergeCell ref="C13:C20"/>
    <mergeCell ref="E13:I17"/>
    <mergeCell ref="G19:G20"/>
  </mergeCells>
  <phoneticPr fontId="0" type="noConversion"/>
  <pageMargins left="0.19685039370078741" right="0.19685039370078741" top="0.43307086614173229" bottom="0.31496062992125984" header="0.19685039370078741" footer="0.27559055118110237"/>
  <pageSetup paperSize="9" scale="60" fitToHeight="0" orientation="landscape" horizontalDpi="300" verticalDpi="300" r:id="rId1"/>
  <headerFooter alignWithMargins="0">
    <oddFooter>&amp;C&amp;P</oddFooter>
  </headerFooter>
  <rowBreaks count="1" manualBreakCount="1">
    <brk id="137" max="1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G85"/>
  <sheetViews>
    <sheetView view="pageBreakPreview" topLeftCell="A20" zoomScale="110" zoomScaleNormal="100" zoomScaleSheetLayoutView="110" workbookViewId="0">
      <selection activeCell="D44" sqref="D44"/>
    </sheetView>
  </sheetViews>
  <sheetFormatPr defaultRowHeight="15"/>
  <cols>
    <col min="1" max="1" width="15.140625" style="85" customWidth="1"/>
    <col min="2" max="2" width="15.42578125" style="86" customWidth="1"/>
    <col min="3" max="3" width="59.140625" style="84" customWidth="1"/>
    <col min="4" max="4" width="18.42578125" style="87" customWidth="1"/>
    <col min="5" max="5" width="11.85546875" style="84" bestFit="1" customWidth="1"/>
    <col min="6" max="6" width="12.5703125" style="84" bestFit="1" customWidth="1"/>
    <col min="7" max="16384" width="9.140625" style="84"/>
  </cols>
  <sheetData>
    <row r="1" spans="1:7" ht="17.45" customHeight="1">
      <c r="A1" s="551"/>
      <c r="B1" s="551"/>
      <c r="C1" s="147"/>
      <c r="D1" s="147" t="s">
        <v>500</v>
      </c>
    </row>
    <row r="2" spans="1:7" ht="17.45" customHeight="1">
      <c r="A2" s="146"/>
      <c r="B2" s="146"/>
      <c r="C2" s="558" t="s">
        <v>615</v>
      </c>
      <c r="D2" s="558"/>
    </row>
    <row r="3" spans="1:7" ht="17.45" customHeight="1">
      <c r="A3" s="437"/>
      <c r="B3" s="437"/>
      <c r="C3" s="562" t="s">
        <v>708</v>
      </c>
      <c r="D3" s="562"/>
    </row>
    <row r="4" spans="1:7" ht="17.45" customHeight="1">
      <c r="A4" s="437"/>
      <c r="B4" s="437"/>
      <c r="C4" s="562" t="s">
        <v>709</v>
      </c>
      <c r="D4" s="562"/>
    </row>
    <row r="5" spans="1:7">
      <c r="C5" s="559" t="s">
        <v>754</v>
      </c>
      <c r="D5" s="559"/>
    </row>
    <row r="6" spans="1:7">
      <c r="C6" s="559"/>
      <c r="D6" s="559"/>
    </row>
    <row r="7" spans="1:7" ht="18.75">
      <c r="A7" s="553" t="s">
        <v>187</v>
      </c>
      <c r="B7" s="553"/>
      <c r="C7" s="553"/>
      <c r="D7" s="554"/>
    </row>
    <row r="9" spans="1:7" hidden="1"/>
    <row r="10" spans="1:7">
      <c r="C10" s="148">
        <v>2356400000</v>
      </c>
      <c r="E10" s="88"/>
      <c r="F10" s="88"/>
      <c r="G10" s="88"/>
    </row>
    <row r="11" spans="1:7">
      <c r="C11" s="89" t="s">
        <v>525</v>
      </c>
      <c r="E11" s="90"/>
      <c r="F11" s="90"/>
      <c r="G11" s="90"/>
    </row>
    <row r="13" spans="1:7" hidden="1"/>
    <row r="14" spans="1:7" ht="18.75">
      <c r="A14" s="555" t="s">
        <v>486</v>
      </c>
      <c r="B14" s="555"/>
      <c r="C14" s="555"/>
      <c r="D14" s="556"/>
    </row>
    <row r="15" spans="1:7">
      <c r="D15" s="87" t="s">
        <v>487</v>
      </c>
    </row>
    <row r="16" spans="1:7" ht="83.25" customHeight="1">
      <c r="A16" s="91" t="s">
        <v>488</v>
      </c>
      <c r="B16" s="557" t="s">
        <v>504</v>
      </c>
      <c r="C16" s="557"/>
      <c r="D16" s="92" t="s">
        <v>513</v>
      </c>
    </row>
    <row r="17" spans="1:6">
      <c r="A17" s="93">
        <v>1</v>
      </c>
      <c r="B17" s="560">
        <v>2</v>
      </c>
      <c r="C17" s="560"/>
      <c r="D17" s="95">
        <v>3</v>
      </c>
    </row>
    <row r="18" spans="1:6" ht="23.25" customHeight="1">
      <c r="A18" s="561" t="s">
        <v>505</v>
      </c>
      <c r="B18" s="561"/>
      <c r="C18" s="561"/>
      <c r="D18" s="561"/>
    </row>
    <row r="19" spans="1:6" ht="64.5" customHeight="1">
      <c r="A19" s="93">
        <v>41021400</v>
      </c>
      <c r="B19" s="552" t="s">
        <v>678</v>
      </c>
      <c r="C19" s="552"/>
      <c r="D19" s="236">
        <f>D20</f>
        <v>766900</v>
      </c>
      <c r="F19" s="149"/>
    </row>
    <row r="20" spans="1:6">
      <c r="A20" s="96">
        <v>9900000000</v>
      </c>
      <c r="B20" s="546" t="s">
        <v>489</v>
      </c>
      <c r="C20" s="546" t="s">
        <v>490</v>
      </c>
      <c r="D20" s="236">
        <v>766900</v>
      </c>
    </row>
    <row r="21" spans="1:6">
      <c r="A21" s="93">
        <v>41033900</v>
      </c>
      <c r="B21" s="552" t="s">
        <v>94</v>
      </c>
      <c r="C21" s="552"/>
      <c r="D21" s="236">
        <f>D22</f>
        <v>58638400</v>
      </c>
      <c r="F21" s="149"/>
    </row>
    <row r="22" spans="1:6">
      <c r="A22" s="96">
        <v>9900000000</v>
      </c>
      <c r="B22" s="546" t="s">
        <v>489</v>
      </c>
      <c r="C22" s="546" t="s">
        <v>490</v>
      </c>
      <c r="D22" s="236">
        <f>58638100+300</f>
        <v>58638400</v>
      </c>
      <c r="F22" s="149"/>
    </row>
    <row r="23" spans="1:6" ht="30.75" hidden="1" customHeight="1">
      <c r="A23" s="93">
        <v>41034500</v>
      </c>
      <c r="B23" s="549" t="s">
        <v>368</v>
      </c>
      <c r="C23" s="550"/>
      <c r="D23" s="236">
        <f>D24</f>
        <v>0</v>
      </c>
      <c r="F23" s="149"/>
    </row>
    <row r="24" spans="1:6" hidden="1">
      <c r="A24" s="96">
        <v>99000000000</v>
      </c>
      <c r="B24" s="546" t="s">
        <v>489</v>
      </c>
      <c r="C24" s="546" t="s">
        <v>490</v>
      </c>
      <c r="D24" s="236"/>
    </row>
    <row r="25" spans="1:6" ht="42" customHeight="1">
      <c r="A25" s="96">
        <v>41040200</v>
      </c>
      <c r="B25" s="546" t="s">
        <v>366</v>
      </c>
      <c r="C25" s="546"/>
      <c r="D25" s="236">
        <f>'Додаток 1'!D120</f>
        <v>2691900</v>
      </c>
      <c r="F25" s="149"/>
    </row>
    <row r="26" spans="1:6" ht="17.25" customHeight="1">
      <c r="A26" s="150">
        <v>2310000000</v>
      </c>
      <c r="B26" s="539" t="s">
        <v>492</v>
      </c>
      <c r="C26" s="539"/>
      <c r="D26" s="234">
        <f>D25</f>
        <v>2691900</v>
      </c>
      <c r="F26" s="149"/>
    </row>
    <row r="27" spans="1:6" ht="16.5" customHeight="1">
      <c r="A27" s="96">
        <v>41040400</v>
      </c>
      <c r="B27" s="547" t="s">
        <v>335</v>
      </c>
      <c r="C27" s="548"/>
      <c r="D27" s="236">
        <f>'Додаток 1'!C121</f>
        <v>15647.73</v>
      </c>
      <c r="F27" s="149"/>
    </row>
    <row r="28" spans="1:6" ht="15" customHeight="1">
      <c r="A28" s="150" t="s">
        <v>491</v>
      </c>
      <c r="B28" s="539" t="s">
        <v>492</v>
      </c>
      <c r="C28" s="539"/>
      <c r="D28" s="234">
        <f>D27</f>
        <v>15647.73</v>
      </c>
      <c r="F28" s="149"/>
    </row>
    <row r="29" spans="1:6" ht="54.75" hidden="1" customHeight="1">
      <c r="A29" s="150"/>
      <c r="B29" s="547" t="s">
        <v>76</v>
      </c>
      <c r="C29" s="548"/>
      <c r="D29" s="236">
        <f>D30+D31</f>
        <v>0</v>
      </c>
      <c r="F29" s="149"/>
    </row>
    <row r="30" spans="1:6" ht="18" hidden="1" customHeight="1">
      <c r="A30" s="150" t="s">
        <v>491</v>
      </c>
      <c r="B30" s="539" t="s">
        <v>492</v>
      </c>
      <c r="C30" s="539"/>
      <c r="D30" s="234"/>
    </row>
    <row r="31" spans="1:6" ht="18" hidden="1" customHeight="1">
      <c r="A31" s="151">
        <v>23534000000</v>
      </c>
      <c r="B31" s="535" t="s">
        <v>393</v>
      </c>
      <c r="C31" s="536"/>
      <c r="D31" s="234"/>
    </row>
    <row r="32" spans="1:6" ht="28.5" customHeight="1">
      <c r="A32" s="151">
        <v>41051000</v>
      </c>
      <c r="B32" s="540" t="s">
        <v>397</v>
      </c>
      <c r="C32" s="540"/>
      <c r="D32" s="234">
        <f>D33</f>
        <v>670383</v>
      </c>
      <c r="F32" s="149"/>
    </row>
    <row r="33" spans="1:6" ht="19.5" customHeight="1">
      <c r="A33" s="150">
        <v>2310000000</v>
      </c>
      <c r="B33" s="539" t="s">
        <v>492</v>
      </c>
      <c r="C33" s="539"/>
      <c r="D33" s="234">
        <v>670383</v>
      </c>
    </row>
    <row r="34" spans="1:6" ht="30" hidden="1" customHeight="1">
      <c r="A34" s="151">
        <v>41051100</v>
      </c>
      <c r="B34" s="542" t="s">
        <v>3</v>
      </c>
      <c r="C34" s="543"/>
      <c r="D34" s="234">
        <f>D35</f>
        <v>0</v>
      </c>
      <c r="F34" s="149"/>
    </row>
    <row r="35" spans="1:6" ht="19.5" hidden="1" customHeight="1">
      <c r="A35" s="150" t="s">
        <v>491</v>
      </c>
      <c r="B35" s="539" t="s">
        <v>492</v>
      </c>
      <c r="C35" s="539"/>
      <c r="D35" s="234"/>
    </row>
    <row r="36" spans="1:6">
      <c r="A36" s="151">
        <v>41051200</v>
      </c>
      <c r="B36" s="540" t="s">
        <v>398</v>
      </c>
      <c r="C36" s="540"/>
      <c r="D36" s="234">
        <f>D37</f>
        <v>116197</v>
      </c>
      <c r="F36" s="149"/>
    </row>
    <row r="37" spans="1:6">
      <c r="A37" s="150" t="s">
        <v>491</v>
      </c>
      <c r="B37" s="539" t="s">
        <v>492</v>
      </c>
      <c r="C37" s="539"/>
      <c r="D37" s="234">
        <v>116197</v>
      </c>
      <c r="F37" s="149"/>
    </row>
    <row r="38" spans="1:6" ht="46.5" hidden="1" customHeight="1">
      <c r="A38" s="150">
        <v>41051400</v>
      </c>
      <c r="B38" s="542" t="s">
        <v>142</v>
      </c>
      <c r="C38" s="543"/>
      <c r="D38" s="234">
        <f>D39</f>
        <v>0</v>
      </c>
      <c r="F38" s="149"/>
    </row>
    <row r="39" spans="1:6" hidden="1">
      <c r="A39" s="150" t="s">
        <v>491</v>
      </c>
      <c r="B39" s="544" t="s">
        <v>492</v>
      </c>
      <c r="C39" s="545"/>
      <c r="D39" s="234"/>
      <c r="F39" s="149"/>
    </row>
    <row r="40" spans="1:6" ht="47.25" customHeight="1">
      <c r="A40" s="150">
        <v>41051700</v>
      </c>
      <c r="B40" s="542" t="s">
        <v>143</v>
      </c>
      <c r="C40" s="543"/>
      <c r="D40" s="234">
        <f>D41</f>
        <v>64655</v>
      </c>
      <c r="F40" s="149"/>
    </row>
    <row r="41" spans="1:6">
      <c r="A41" s="150" t="s">
        <v>491</v>
      </c>
      <c r="B41" s="539" t="s">
        <v>492</v>
      </c>
      <c r="C41" s="539"/>
      <c r="D41" s="234">
        <f>'Додаток 1'!D129</f>
        <v>64655</v>
      </c>
      <c r="F41" s="149"/>
    </row>
    <row r="42" spans="1:6" ht="18" customHeight="1">
      <c r="A42" s="151">
        <v>41053900</v>
      </c>
      <c r="B42" s="535" t="s">
        <v>543</v>
      </c>
      <c r="C42" s="536"/>
      <c r="D42" s="234">
        <f>SUM(D43:D50)</f>
        <v>4440512</v>
      </c>
      <c r="F42" s="149"/>
    </row>
    <row r="43" spans="1:6">
      <c r="A43" s="150">
        <v>2310000000</v>
      </c>
      <c r="B43" s="539" t="s">
        <v>492</v>
      </c>
      <c r="C43" s="539"/>
      <c r="D43" s="234">
        <f>1047457+250000+150000+175000+100000+50000</f>
        <v>1772457</v>
      </c>
    </row>
    <row r="44" spans="1:6">
      <c r="A44" s="151">
        <v>2353400000</v>
      </c>
      <c r="B44" s="535" t="s">
        <v>393</v>
      </c>
      <c r="C44" s="536"/>
      <c r="D44" s="234">
        <f>382893+50000</f>
        <v>432893</v>
      </c>
    </row>
    <row r="45" spans="1:6">
      <c r="A45" s="151">
        <v>2355300000</v>
      </c>
      <c r="B45" s="537" t="s">
        <v>394</v>
      </c>
      <c r="C45" s="538"/>
      <c r="D45" s="234">
        <f>2007525+64500</f>
        <v>2072025</v>
      </c>
    </row>
    <row r="46" spans="1:6">
      <c r="A46" s="151">
        <v>2356000000</v>
      </c>
      <c r="B46" s="535" t="s">
        <v>179</v>
      </c>
      <c r="C46" s="536"/>
      <c r="D46" s="234">
        <v>36000</v>
      </c>
    </row>
    <row r="47" spans="1:6">
      <c r="A47" s="151">
        <v>2350900000</v>
      </c>
      <c r="B47" s="537" t="s">
        <v>681</v>
      </c>
      <c r="C47" s="538"/>
      <c r="D47" s="234">
        <v>19456</v>
      </c>
    </row>
    <row r="48" spans="1:6" ht="18.75" customHeight="1">
      <c r="A48" s="151">
        <v>23503000000</v>
      </c>
      <c r="B48" s="537" t="s">
        <v>684</v>
      </c>
      <c r="C48" s="538"/>
      <c r="D48" s="234">
        <v>15000</v>
      </c>
      <c r="F48" s="149"/>
    </row>
    <row r="49" spans="1:6" ht="18.75" customHeight="1">
      <c r="A49" s="151">
        <v>2350200000</v>
      </c>
      <c r="B49" s="535" t="s">
        <v>748</v>
      </c>
      <c r="C49" s="536"/>
      <c r="D49" s="234">
        <v>82681</v>
      </c>
      <c r="F49" s="149"/>
    </row>
    <row r="50" spans="1:6">
      <c r="A50" s="96">
        <v>2353100000</v>
      </c>
      <c r="B50" s="547" t="s">
        <v>698</v>
      </c>
      <c r="C50" s="548"/>
      <c r="D50" s="234">
        <v>10000</v>
      </c>
      <c r="F50" s="149"/>
    </row>
    <row r="51" spans="1:6" ht="31.5" customHeight="1">
      <c r="A51" s="151">
        <v>41057700</v>
      </c>
      <c r="B51" s="535" t="s">
        <v>716</v>
      </c>
      <c r="C51" s="536"/>
      <c r="D51" s="234">
        <f>D52</f>
        <v>98086</v>
      </c>
      <c r="F51" s="149"/>
    </row>
    <row r="52" spans="1:6" ht="15" customHeight="1">
      <c r="A52" s="150" t="s">
        <v>491</v>
      </c>
      <c r="B52" s="539" t="s">
        <v>395</v>
      </c>
      <c r="C52" s="539"/>
      <c r="D52" s="234">
        <f>'Додаток 1'!D131</f>
        <v>98086</v>
      </c>
      <c r="F52" s="149"/>
    </row>
    <row r="53" spans="1:6" ht="27" customHeight="1">
      <c r="A53" s="151">
        <v>41058900</v>
      </c>
      <c r="B53" s="535" t="s">
        <v>725</v>
      </c>
      <c r="C53" s="536"/>
      <c r="D53" s="234">
        <f>D54</f>
        <v>2065000</v>
      </c>
      <c r="F53" s="149"/>
    </row>
    <row r="54" spans="1:6" ht="19.5" customHeight="1">
      <c r="A54" s="150" t="s">
        <v>491</v>
      </c>
      <c r="B54" s="539" t="s">
        <v>395</v>
      </c>
      <c r="C54" s="539"/>
      <c r="D54" s="234">
        <f>'Додаток 1'!D132</f>
        <v>2065000</v>
      </c>
    </row>
    <row r="55" spans="1:6" hidden="1">
      <c r="A55" s="151"/>
      <c r="B55" s="540"/>
      <c r="C55" s="540"/>
      <c r="D55" s="152"/>
    </row>
    <row r="56" spans="1:6" ht="22.5" customHeight="1">
      <c r="A56" s="541" t="s">
        <v>493</v>
      </c>
      <c r="B56" s="541"/>
      <c r="C56" s="541"/>
      <c r="D56" s="541"/>
    </row>
    <row r="57" spans="1:6" ht="15.75" hidden="1" customHeight="1">
      <c r="A57" s="151">
        <v>41053900</v>
      </c>
      <c r="B57" s="535" t="s">
        <v>543</v>
      </c>
      <c r="C57" s="536"/>
      <c r="D57" s="233">
        <f>D58+D59</f>
        <v>0</v>
      </c>
    </row>
    <row r="58" spans="1:6" ht="15" hidden="1" customHeight="1">
      <c r="A58" s="151">
        <v>23504000000</v>
      </c>
      <c r="B58" s="535" t="s">
        <v>181</v>
      </c>
      <c r="C58" s="536"/>
      <c r="D58" s="234"/>
    </row>
    <row r="59" spans="1:6" hidden="1">
      <c r="A59" s="151" t="s">
        <v>491</v>
      </c>
      <c r="B59" s="540" t="s">
        <v>492</v>
      </c>
      <c r="C59" s="540"/>
      <c r="D59" s="234"/>
    </row>
    <row r="60" spans="1:6">
      <c r="A60" s="150" t="s">
        <v>556</v>
      </c>
      <c r="B60" s="563" t="s">
        <v>494</v>
      </c>
      <c r="C60" s="563"/>
      <c r="D60" s="235">
        <f>D61+D62</f>
        <v>69567680.729999989</v>
      </c>
      <c r="F60" s="149"/>
    </row>
    <row r="61" spans="1:6">
      <c r="A61" s="150" t="s">
        <v>556</v>
      </c>
      <c r="B61" s="563" t="s">
        <v>495</v>
      </c>
      <c r="C61" s="563"/>
      <c r="D61" s="235">
        <f>D19+D21+D23+D25+D27+D29+D32+D34+D36+D38+D40+D42+D51+D53</f>
        <v>69567680.729999989</v>
      </c>
      <c r="E61" s="149"/>
      <c r="F61" s="209">
        <f>'Додаток 1'!D111-'Додаток 4'!D60</f>
        <v>0</v>
      </c>
    </row>
    <row r="62" spans="1:6">
      <c r="A62" s="150" t="s">
        <v>556</v>
      </c>
      <c r="B62" s="563" t="s">
        <v>496</v>
      </c>
      <c r="C62" s="563"/>
      <c r="D62" s="235">
        <f>D57</f>
        <v>0</v>
      </c>
      <c r="F62" s="149"/>
    </row>
    <row r="63" spans="1:6">
      <c r="A63" s="98"/>
      <c r="B63" s="99"/>
      <c r="C63" s="99"/>
      <c r="D63" s="100"/>
    </row>
    <row r="64" spans="1:6" ht="24.75" customHeight="1">
      <c r="A64" s="564" t="s">
        <v>497</v>
      </c>
      <c r="B64" s="564"/>
      <c r="C64" s="564"/>
      <c r="D64" s="565"/>
      <c r="E64" s="43"/>
    </row>
    <row r="65" spans="1:7">
      <c r="A65" s="98"/>
      <c r="B65" s="99"/>
      <c r="C65" s="43"/>
      <c r="D65" s="101" t="s">
        <v>487</v>
      </c>
      <c r="E65" s="43"/>
    </row>
    <row r="66" spans="1:7" ht="114" customHeight="1">
      <c r="A66" s="91" t="s">
        <v>498</v>
      </c>
      <c r="B66" s="91" t="s">
        <v>499</v>
      </c>
      <c r="C66" s="91" t="s">
        <v>506</v>
      </c>
      <c r="D66" s="92" t="s">
        <v>513</v>
      </c>
    </row>
    <row r="67" spans="1:7">
      <c r="A67" s="93">
        <v>1</v>
      </c>
      <c r="B67" s="94">
        <v>2</v>
      </c>
      <c r="C67" s="102">
        <v>3</v>
      </c>
      <c r="D67" s="95">
        <v>4</v>
      </c>
    </row>
    <row r="68" spans="1:7">
      <c r="A68" s="566" t="s">
        <v>501</v>
      </c>
      <c r="B68" s="566"/>
      <c r="C68" s="566"/>
      <c r="D68" s="566"/>
    </row>
    <row r="69" spans="1:7" hidden="1">
      <c r="A69" s="229" t="s">
        <v>59</v>
      </c>
      <c r="B69" s="229" t="s">
        <v>159</v>
      </c>
      <c r="C69" s="230" t="s">
        <v>543</v>
      </c>
      <c r="D69" s="237">
        <f>D70</f>
        <v>0</v>
      </c>
    </row>
    <row r="70" spans="1:7" hidden="1">
      <c r="A70" s="150">
        <v>23304200000</v>
      </c>
      <c r="B70" s="97"/>
      <c r="C70" s="128" t="s">
        <v>446</v>
      </c>
      <c r="D70" s="237"/>
    </row>
    <row r="71" spans="1:7" ht="30">
      <c r="A71" s="96" t="s">
        <v>402</v>
      </c>
      <c r="B71" s="96">
        <v>9800</v>
      </c>
      <c r="C71" s="129" t="s">
        <v>404</v>
      </c>
      <c r="D71" s="237">
        <f>'Додаток 3'!E94</f>
        <v>1027800</v>
      </c>
    </row>
    <row r="72" spans="1:7">
      <c r="A72" s="96">
        <v>9900000000</v>
      </c>
      <c r="B72" s="96"/>
      <c r="C72" s="128" t="s">
        <v>489</v>
      </c>
      <c r="D72" s="237">
        <f>D71</f>
        <v>1027800</v>
      </c>
    </row>
    <row r="73" spans="1:7" ht="18" customHeight="1">
      <c r="A73" s="151" t="s">
        <v>59</v>
      </c>
      <c r="B73" s="96">
        <v>9770</v>
      </c>
      <c r="C73" s="289" t="s">
        <v>182</v>
      </c>
      <c r="D73" s="233">
        <f>'Додаток 3'!E144</f>
        <v>600000</v>
      </c>
    </row>
    <row r="74" spans="1:7" ht="15" customHeight="1">
      <c r="A74" s="151">
        <v>2310000000</v>
      </c>
      <c r="B74" s="96"/>
      <c r="C74" s="128" t="s">
        <v>395</v>
      </c>
      <c r="D74" s="233">
        <f>D73</f>
        <v>600000</v>
      </c>
      <c r="G74" s="288"/>
    </row>
    <row r="75" spans="1:7">
      <c r="A75" s="561" t="s">
        <v>502</v>
      </c>
      <c r="B75" s="561"/>
      <c r="C75" s="561"/>
      <c r="D75" s="561"/>
    </row>
    <row r="76" spans="1:7" hidden="1">
      <c r="A76" s="57" t="s">
        <v>59</v>
      </c>
      <c r="B76" s="57" t="s">
        <v>159</v>
      </c>
      <c r="C76" s="230" t="s">
        <v>543</v>
      </c>
      <c r="D76" s="234"/>
    </row>
    <row r="77" spans="1:7" ht="25.5" hidden="1">
      <c r="A77" s="229"/>
      <c r="B77" s="229"/>
      <c r="C77" s="230" t="s">
        <v>180</v>
      </c>
      <c r="D77" s="234">
        <f>D76</f>
        <v>0</v>
      </c>
    </row>
    <row r="78" spans="1:7" hidden="1">
      <c r="A78" s="150" t="s">
        <v>491</v>
      </c>
      <c r="B78" s="97"/>
      <c r="C78" s="128" t="s">
        <v>395</v>
      </c>
      <c r="D78" s="234">
        <f>D77</f>
        <v>0</v>
      </c>
    </row>
    <row r="79" spans="1:7" ht="31.5" customHeight="1">
      <c r="A79" s="96" t="s">
        <v>402</v>
      </c>
      <c r="B79" s="96">
        <v>9800</v>
      </c>
      <c r="C79" s="129" t="s">
        <v>404</v>
      </c>
      <c r="D79" s="233">
        <f>'Додаток 3'!J94</f>
        <v>3440400</v>
      </c>
    </row>
    <row r="80" spans="1:7">
      <c r="A80" s="96">
        <v>9900000000</v>
      </c>
      <c r="B80" s="96"/>
      <c r="C80" s="128" t="s">
        <v>489</v>
      </c>
      <c r="D80" s="233">
        <f>D79</f>
        <v>3440400</v>
      </c>
    </row>
    <row r="81" spans="1:6" s="106" customFormat="1" ht="22.5" customHeight="1">
      <c r="A81" s="103" t="s">
        <v>556</v>
      </c>
      <c r="B81" s="104" t="s">
        <v>556</v>
      </c>
      <c r="C81" s="105" t="s">
        <v>503</v>
      </c>
      <c r="D81" s="428">
        <f>D82+D83</f>
        <v>5068200</v>
      </c>
      <c r="F81" s="107"/>
    </row>
    <row r="82" spans="1:6" s="106" customFormat="1">
      <c r="A82" s="93" t="s">
        <v>556</v>
      </c>
      <c r="B82" s="94" t="s">
        <v>556</v>
      </c>
      <c r="C82" s="108" t="s">
        <v>495</v>
      </c>
      <c r="D82" s="428">
        <f>D69+D71+D73</f>
        <v>1627800</v>
      </c>
      <c r="F82" s="107"/>
    </row>
    <row r="83" spans="1:6">
      <c r="A83" s="93" t="s">
        <v>556</v>
      </c>
      <c r="B83" s="94" t="s">
        <v>556</v>
      </c>
      <c r="C83" s="108" t="s">
        <v>496</v>
      </c>
      <c r="D83" s="428">
        <f>D76+D80</f>
        <v>3440400</v>
      </c>
      <c r="F83" s="265"/>
    </row>
    <row r="84" spans="1:6">
      <c r="A84" s="98"/>
      <c r="B84" s="99"/>
      <c r="C84" s="43"/>
      <c r="D84" s="101"/>
    </row>
    <row r="85" spans="1:6">
      <c r="A85" s="559" t="s">
        <v>396</v>
      </c>
      <c r="B85" s="559"/>
      <c r="D85" s="87" t="s">
        <v>147</v>
      </c>
    </row>
  </sheetData>
  <mergeCells count="59">
    <mergeCell ref="B31:C31"/>
    <mergeCell ref="B37:C37"/>
    <mergeCell ref="B38:C38"/>
    <mergeCell ref="B21:C21"/>
    <mergeCell ref="A85:B85"/>
    <mergeCell ref="B52:C52"/>
    <mergeCell ref="B48:C48"/>
    <mergeCell ref="B50:C50"/>
    <mergeCell ref="B53:C53"/>
    <mergeCell ref="A75:D75"/>
    <mergeCell ref="B61:C61"/>
    <mergeCell ref="A64:D64"/>
    <mergeCell ref="B60:C60"/>
    <mergeCell ref="B59:C59"/>
    <mergeCell ref="A68:D68"/>
    <mergeCell ref="B62:C62"/>
    <mergeCell ref="A1:B1"/>
    <mergeCell ref="B19:C19"/>
    <mergeCell ref="A7:D7"/>
    <mergeCell ref="A14:D14"/>
    <mergeCell ref="B16:C16"/>
    <mergeCell ref="C2:D2"/>
    <mergeCell ref="C6:D6"/>
    <mergeCell ref="C5:D5"/>
    <mergeCell ref="B17:C17"/>
    <mergeCell ref="A18:D18"/>
    <mergeCell ref="C3:D3"/>
    <mergeCell ref="C4:D4"/>
    <mergeCell ref="B24:C24"/>
    <mergeCell ref="B30:C30"/>
    <mergeCell ref="B29:C29"/>
    <mergeCell ref="B20:C20"/>
    <mergeCell ref="B28:C28"/>
    <mergeCell ref="B22:C22"/>
    <mergeCell ref="B23:C23"/>
    <mergeCell ref="B25:C25"/>
    <mergeCell ref="B27:C27"/>
    <mergeCell ref="B26:C26"/>
    <mergeCell ref="B43:C43"/>
    <mergeCell ref="B44:C44"/>
    <mergeCell ref="B45:C45"/>
    <mergeCell ref="B32:C32"/>
    <mergeCell ref="B40:C40"/>
    <mergeCell ref="B36:C36"/>
    <mergeCell ref="B42:C42"/>
    <mergeCell ref="B35:C35"/>
    <mergeCell ref="B39:C39"/>
    <mergeCell ref="B34:C34"/>
    <mergeCell ref="B41:C41"/>
    <mergeCell ref="B33:C33"/>
    <mergeCell ref="B46:C46"/>
    <mergeCell ref="B58:C58"/>
    <mergeCell ref="B57:C57"/>
    <mergeCell ref="B51:C51"/>
    <mergeCell ref="B47:C47"/>
    <mergeCell ref="B54:C54"/>
    <mergeCell ref="B55:C55"/>
    <mergeCell ref="A56:D56"/>
    <mergeCell ref="B49:C49"/>
  </mergeCells>
  <phoneticPr fontId="0" type="noConversion"/>
  <printOptions horizontalCentered="1"/>
  <pageMargins left="0.23622047244094491" right="0.15748031496062992" top="0.19685039370078741" bottom="0.19685039370078741" header="0.23622047244094491" footer="0.19685039370078741"/>
  <pageSetup paperSize="9" scale="80" fitToHeight="100" orientation="portrait" r:id="rId1"/>
  <headerFooter alignWithMargins="0"/>
  <rowBreaks count="1" manualBreakCount="1">
    <brk id="55"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O43"/>
  <sheetViews>
    <sheetView view="pageBreakPreview" zoomScaleNormal="75" zoomScaleSheetLayoutView="100" workbookViewId="0">
      <pane xSplit="4" ySplit="12" topLeftCell="E39" activePane="bottomRight" state="frozen"/>
      <selection pane="topRight" activeCell="E1" sqref="E1"/>
      <selection pane="bottomLeft" activeCell="A8" sqref="A8"/>
      <selection pane="bottomRight" activeCell="F5" sqref="F5:J5"/>
    </sheetView>
  </sheetViews>
  <sheetFormatPr defaultRowHeight="12.75"/>
  <cols>
    <col min="1" max="1" width="12.7109375" customWidth="1"/>
    <col min="2" max="2" width="14.28515625" customWidth="1"/>
    <col min="3" max="3" width="13" customWidth="1"/>
    <col min="4" max="4" width="35.5703125" customWidth="1"/>
    <col min="5" max="5" width="41.5703125" customWidth="1"/>
    <col min="6" max="6" width="15.5703125" customWidth="1"/>
    <col min="7" max="7" width="11.42578125" customWidth="1"/>
    <col min="8" max="9" width="15.42578125" customWidth="1"/>
    <col min="10" max="10" width="14.28515625" customWidth="1"/>
    <col min="12" max="12" width="10.5703125" bestFit="1" customWidth="1"/>
    <col min="257" max="257" width="12.7109375" customWidth="1"/>
    <col min="258" max="258" width="14.28515625" customWidth="1"/>
    <col min="259" max="259" width="13" customWidth="1"/>
    <col min="260" max="260" width="35.5703125" customWidth="1"/>
    <col min="261" max="261" width="41.5703125" customWidth="1"/>
    <col min="262" max="262" width="15.5703125" customWidth="1"/>
    <col min="263" max="263" width="11.42578125" customWidth="1"/>
    <col min="264" max="265" width="15.42578125" customWidth="1"/>
    <col min="266" max="266" width="14.28515625" customWidth="1"/>
    <col min="268" max="268" width="10.5703125" bestFit="1" customWidth="1"/>
    <col min="513" max="513" width="12.7109375" customWidth="1"/>
    <col min="514" max="514" width="14.28515625" customWidth="1"/>
    <col min="515" max="515" width="13" customWidth="1"/>
    <col min="516" max="516" width="35.5703125" customWidth="1"/>
    <col min="517" max="517" width="41.5703125" customWidth="1"/>
    <col min="518" max="518" width="15.5703125" customWidth="1"/>
    <col min="519" max="519" width="11.42578125" customWidth="1"/>
    <col min="520" max="521" width="15.42578125" customWidth="1"/>
    <col min="522" max="522" width="14.28515625" customWidth="1"/>
    <col min="524" max="524" width="10.5703125" bestFit="1" customWidth="1"/>
    <col min="769" max="769" width="12.7109375" customWidth="1"/>
    <col min="770" max="770" width="14.28515625" customWidth="1"/>
    <col min="771" max="771" width="13" customWidth="1"/>
    <col min="772" max="772" width="35.5703125" customWidth="1"/>
    <col min="773" max="773" width="41.5703125" customWidth="1"/>
    <col min="774" max="774" width="15.5703125" customWidth="1"/>
    <col min="775" max="775" width="11.42578125" customWidth="1"/>
    <col min="776" max="777" width="15.42578125" customWidth="1"/>
    <col min="778" max="778" width="14.28515625" customWidth="1"/>
    <col min="780" max="780" width="10.5703125" bestFit="1" customWidth="1"/>
    <col min="1025" max="1025" width="12.7109375" customWidth="1"/>
    <col min="1026" max="1026" width="14.28515625" customWidth="1"/>
    <col min="1027" max="1027" width="13" customWidth="1"/>
    <col min="1028" max="1028" width="35.5703125" customWidth="1"/>
    <col min="1029" max="1029" width="41.5703125" customWidth="1"/>
    <col min="1030" max="1030" width="15.5703125" customWidth="1"/>
    <col min="1031" max="1031" width="11.42578125" customWidth="1"/>
    <col min="1032" max="1033" width="15.42578125" customWidth="1"/>
    <col min="1034" max="1034" width="14.28515625" customWidth="1"/>
    <col min="1036" max="1036" width="10.5703125" bestFit="1" customWidth="1"/>
    <col min="1281" max="1281" width="12.7109375" customWidth="1"/>
    <col min="1282" max="1282" width="14.28515625" customWidth="1"/>
    <col min="1283" max="1283" width="13" customWidth="1"/>
    <col min="1284" max="1284" width="35.5703125" customWidth="1"/>
    <col min="1285" max="1285" width="41.5703125" customWidth="1"/>
    <col min="1286" max="1286" width="15.5703125" customWidth="1"/>
    <col min="1287" max="1287" width="11.42578125" customWidth="1"/>
    <col min="1288" max="1289" width="15.42578125" customWidth="1"/>
    <col min="1290" max="1290" width="14.28515625" customWidth="1"/>
    <col min="1292" max="1292" width="10.5703125" bestFit="1" customWidth="1"/>
    <col min="1537" max="1537" width="12.7109375" customWidth="1"/>
    <col min="1538" max="1538" width="14.28515625" customWidth="1"/>
    <col min="1539" max="1539" width="13" customWidth="1"/>
    <col min="1540" max="1540" width="35.5703125" customWidth="1"/>
    <col min="1541" max="1541" width="41.5703125" customWidth="1"/>
    <col min="1542" max="1542" width="15.5703125" customWidth="1"/>
    <col min="1543" max="1543" width="11.42578125" customWidth="1"/>
    <col min="1544" max="1545" width="15.42578125" customWidth="1"/>
    <col min="1546" max="1546" width="14.28515625" customWidth="1"/>
    <col min="1548" max="1548" width="10.5703125" bestFit="1" customWidth="1"/>
    <col min="1793" max="1793" width="12.7109375" customWidth="1"/>
    <col min="1794" max="1794" width="14.28515625" customWidth="1"/>
    <col min="1795" max="1795" width="13" customWidth="1"/>
    <col min="1796" max="1796" width="35.5703125" customWidth="1"/>
    <col min="1797" max="1797" width="41.5703125" customWidth="1"/>
    <col min="1798" max="1798" width="15.5703125" customWidth="1"/>
    <col min="1799" max="1799" width="11.42578125" customWidth="1"/>
    <col min="1800" max="1801" width="15.42578125" customWidth="1"/>
    <col min="1802" max="1802" width="14.28515625" customWidth="1"/>
    <col min="1804" max="1804" width="10.5703125" bestFit="1" customWidth="1"/>
    <col min="2049" max="2049" width="12.7109375" customWidth="1"/>
    <col min="2050" max="2050" width="14.28515625" customWidth="1"/>
    <col min="2051" max="2051" width="13" customWidth="1"/>
    <col min="2052" max="2052" width="35.5703125" customWidth="1"/>
    <col min="2053" max="2053" width="41.5703125" customWidth="1"/>
    <col min="2054" max="2054" width="15.5703125" customWidth="1"/>
    <col min="2055" max="2055" width="11.42578125" customWidth="1"/>
    <col min="2056" max="2057" width="15.42578125" customWidth="1"/>
    <col min="2058" max="2058" width="14.28515625" customWidth="1"/>
    <col min="2060" max="2060" width="10.5703125" bestFit="1" customWidth="1"/>
    <col min="2305" max="2305" width="12.7109375" customWidth="1"/>
    <col min="2306" max="2306" width="14.28515625" customWidth="1"/>
    <col min="2307" max="2307" width="13" customWidth="1"/>
    <col min="2308" max="2308" width="35.5703125" customWidth="1"/>
    <col min="2309" max="2309" width="41.5703125" customWidth="1"/>
    <col min="2310" max="2310" width="15.5703125" customWidth="1"/>
    <col min="2311" max="2311" width="11.42578125" customWidth="1"/>
    <col min="2312" max="2313" width="15.42578125" customWidth="1"/>
    <col min="2314" max="2314" width="14.28515625" customWidth="1"/>
    <col min="2316" max="2316" width="10.5703125" bestFit="1" customWidth="1"/>
    <col min="2561" max="2561" width="12.7109375" customWidth="1"/>
    <col min="2562" max="2562" width="14.28515625" customWidth="1"/>
    <col min="2563" max="2563" width="13" customWidth="1"/>
    <col min="2564" max="2564" width="35.5703125" customWidth="1"/>
    <col min="2565" max="2565" width="41.5703125" customWidth="1"/>
    <col min="2566" max="2566" width="15.5703125" customWidth="1"/>
    <col min="2567" max="2567" width="11.42578125" customWidth="1"/>
    <col min="2568" max="2569" width="15.42578125" customWidth="1"/>
    <col min="2570" max="2570" width="14.28515625" customWidth="1"/>
    <col min="2572" max="2572" width="10.5703125" bestFit="1" customWidth="1"/>
    <col min="2817" max="2817" width="12.7109375" customWidth="1"/>
    <col min="2818" max="2818" width="14.28515625" customWidth="1"/>
    <col min="2819" max="2819" width="13" customWidth="1"/>
    <col min="2820" max="2820" width="35.5703125" customWidth="1"/>
    <col min="2821" max="2821" width="41.5703125" customWidth="1"/>
    <col min="2822" max="2822" width="15.5703125" customWidth="1"/>
    <col min="2823" max="2823" width="11.42578125" customWidth="1"/>
    <col min="2824" max="2825" width="15.42578125" customWidth="1"/>
    <col min="2826" max="2826" width="14.28515625" customWidth="1"/>
    <col min="2828" max="2828" width="10.5703125" bestFit="1" customWidth="1"/>
    <col min="3073" max="3073" width="12.7109375" customWidth="1"/>
    <col min="3074" max="3074" width="14.28515625" customWidth="1"/>
    <col min="3075" max="3075" width="13" customWidth="1"/>
    <col min="3076" max="3076" width="35.5703125" customWidth="1"/>
    <col min="3077" max="3077" width="41.5703125" customWidth="1"/>
    <col min="3078" max="3078" width="15.5703125" customWidth="1"/>
    <col min="3079" max="3079" width="11.42578125" customWidth="1"/>
    <col min="3080" max="3081" width="15.42578125" customWidth="1"/>
    <col min="3082" max="3082" width="14.28515625" customWidth="1"/>
    <col min="3084" max="3084" width="10.5703125" bestFit="1" customWidth="1"/>
    <col min="3329" max="3329" width="12.7109375" customWidth="1"/>
    <col min="3330" max="3330" width="14.28515625" customWidth="1"/>
    <col min="3331" max="3331" width="13" customWidth="1"/>
    <col min="3332" max="3332" width="35.5703125" customWidth="1"/>
    <col min="3333" max="3333" width="41.5703125" customWidth="1"/>
    <col min="3334" max="3334" width="15.5703125" customWidth="1"/>
    <col min="3335" max="3335" width="11.42578125" customWidth="1"/>
    <col min="3336" max="3337" width="15.42578125" customWidth="1"/>
    <col min="3338" max="3338" width="14.28515625" customWidth="1"/>
    <col min="3340" max="3340" width="10.5703125" bestFit="1" customWidth="1"/>
    <col min="3585" max="3585" width="12.7109375" customWidth="1"/>
    <col min="3586" max="3586" width="14.28515625" customWidth="1"/>
    <col min="3587" max="3587" width="13" customWidth="1"/>
    <col min="3588" max="3588" width="35.5703125" customWidth="1"/>
    <col min="3589" max="3589" width="41.5703125" customWidth="1"/>
    <col min="3590" max="3590" width="15.5703125" customWidth="1"/>
    <col min="3591" max="3591" width="11.42578125" customWidth="1"/>
    <col min="3592" max="3593" width="15.42578125" customWidth="1"/>
    <col min="3594" max="3594" width="14.28515625" customWidth="1"/>
    <col min="3596" max="3596" width="10.5703125" bestFit="1" customWidth="1"/>
    <col min="3841" max="3841" width="12.7109375" customWidth="1"/>
    <col min="3842" max="3842" width="14.28515625" customWidth="1"/>
    <col min="3843" max="3843" width="13" customWidth="1"/>
    <col min="3844" max="3844" width="35.5703125" customWidth="1"/>
    <col min="3845" max="3845" width="41.5703125" customWidth="1"/>
    <col min="3846" max="3846" width="15.5703125" customWidth="1"/>
    <col min="3847" max="3847" width="11.42578125" customWidth="1"/>
    <col min="3848" max="3849" width="15.42578125" customWidth="1"/>
    <col min="3850" max="3850" width="14.28515625" customWidth="1"/>
    <col min="3852" max="3852" width="10.5703125" bestFit="1" customWidth="1"/>
    <col min="4097" max="4097" width="12.7109375" customWidth="1"/>
    <col min="4098" max="4098" width="14.28515625" customWidth="1"/>
    <col min="4099" max="4099" width="13" customWidth="1"/>
    <col min="4100" max="4100" width="35.5703125" customWidth="1"/>
    <col min="4101" max="4101" width="41.5703125" customWidth="1"/>
    <col min="4102" max="4102" width="15.5703125" customWidth="1"/>
    <col min="4103" max="4103" width="11.42578125" customWidth="1"/>
    <col min="4104" max="4105" width="15.42578125" customWidth="1"/>
    <col min="4106" max="4106" width="14.28515625" customWidth="1"/>
    <col min="4108" max="4108" width="10.5703125" bestFit="1" customWidth="1"/>
    <col min="4353" max="4353" width="12.7109375" customWidth="1"/>
    <col min="4354" max="4354" width="14.28515625" customWidth="1"/>
    <col min="4355" max="4355" width="13" customWidth="1"/>
    <col min="4356" max="4356" width="35.5703125" customWidth="1"/>
    <col min="4357" max="4357" width="41.5703125" customWidth="1"/>
    <col min="4358" max="4358" width="15.5703125" customWidth="1"/>
    <col min="4359" max="4359" width="11.42578125" customWidth="1"/>
    <col min="4360" max="4361" width="15.42578125" customWidth="1"/>
    <col min="4362" max="4362" width="14.28515625" customWidth="1"/>
    <col min="4364" max="4364" width="10.5703125" bestFit="1" customWidth="1"/>
    <col min="4609" max="4609" width="12.7109375" customWidth="1"/>
    <col min="4610" max="4610" width="14.28515625" customWidth="1"/>
    <col min="4611" max="4611" width="13" customWidth="1"/>
    <col min="4612" max="4612" width="35.5703125" customWidth="1"/>
    <col min="4613" max="4613" width="41.5703125" customWidth="1"/>
    <col min="4614" max="4614" width="15.5703125" customWidth="1"/>
    <col min="4615" max="4615" width="11.42578125" customWidth="1"/>
    <col min="4616" max="4617" width="15.42578125" customWidth="1"/>
    <col min="4618" max="4618" width="14.28515625" customWidth="1"/>
    <col min="4620" max="4620" width="10.5703125" bestFit="1" customWidth="1"/>
    <col min="4865" max="4865" width="12.7109375" customWidth="1"/>
    <col min="4866" max="4866" width="14.28515625" customWidth="1"/>
    <col min="4867" max="4867" width="13" customWidth="1"/>
    <col min="4868" max="4868" width="35.5703125" customWidth="1"/>
    <col min="4869" max="4869" width="41.5703125" customWidth="1"/>
    <col min="4870" max="4870" width="15.5703125" customWidth="1"/>
    <col min="4871" max="4871" width="11.42578125" customWidth="1"/>
    <col min="4872" max="4873" width="15.42578125" customWidth="1"/>
    <col min="4874" max="4874" width="14.28515625" customWidth="1"/>
    <col min="4876" max="4876" width="10.5703125" bestFit="1" customWidth="1"/>
    <col min="5121" max="5121" width="12.7109375" customWidth="1"/>
    <col min="5122" max="5122" width="14.28515625" customWidth="1"/>
    <col min="5123" max="5123" width="13" customWidth="1"/>
    <col min="5124" max="5124" width="35.5703125" customWidth="1"/>
    <col min="5125" max="5125" width="41.5703125" customWidth="1"/>
    <col min="5126" max="5126" width="15.5703125" customWidth="1"/>
    <col min="5127" max="5127" width="11.42578125" customWidth="1"/>
    <col min="5128" max="5129" width="15.42578125" customWidth="1"/>
    <col min="5130" max="5130" width="14.28515625" customWidth="1"/>
    <col min="5132" max="5132" width="10.5703125" bestFit="1" customWidth="1"/>
    <col min="5377" max="5377" width="12.7109375" customWidth="1"/>
    <col min="5378" max="5378" width="14.28515625" customWidth="1"/>
    <col min="5379" max="5379" width="13" customWidth="1"/>
    <col min="5380" max="5380" width="35.5703125" customWidth="1"/>
    <col min="5381" max="5381" width="41.5703125" customWidth="1"/>
    <col min="5382" max="5382" width="15.5703125" customWidth="1"/>
    <col min="5383" max="5383" width="11.42578125" customWidth="1"/>
    <col min="5384" max="5385" width="15.42578125" customWidth="1"/>
    <col min="5386" max="5386" width="14.28515625" customWidth="1"/>
    <col min="5388" max="5388" width="10.5703125" bestFit="1" customWidth="1"/>
    <col min="5633" max="5633" width="12.7109375" customWidth="1"/>
    <col min="5634" max="5634" width="14.28515625" customWidth="1"/>
    <col min="5635" max="5635" width="13" customWidth="1"/>
    <col min="5636" max="5636" width="35.5703125" customWidth="1"/>
    <col min="5637" max="5637" width="41.5703125" customWidth="1"/>
    <col min="5638" max="5638" width="15.5703125" customWidth="1"/>
    <col min="5639" max="5639" width="11.42578125" customWidth="1"/>
    <col min="5640" max="5641" width="15.42578125" customWidth="1"/>
    <col min="5642" max="5642" width="14.28515625" customWidth="1"/>
    <col min="5644" max="5644" width="10.5703125" bestFit="1" customWidth="1"/>
    <col min="5889" max="5889" width="12.7109375" customWidth="1"/>
    <col min="5890" max="5890" width="14.28515625" customWidth="1"/>
    <col min="5891" max="5891" width="13" customWidth="1"/>
    <col min="5892" max="5892" width="35.5703125" customWidth="1"/>
    <col min="5893" max="5893" width="41.5703125" customWidth="1"/>
    <col min="5894" max="5894" width="15.5703125" customWidth="1"/>
    <col min="5895" max="5895" width="11.42578125" customWidth="1"/>
    <col min="5896" max="5897" width="15.42578125" customWidth="1"/>
    <col min="5898" max="5898" width="14.28515625" customWidth="1"/>
    <col min="5900" max="5900" width="10.5703125" bestFit="1" customWidth="1"/>
    <col min="6145" max="6145" width="12.7109375" customWidth="1"/>
    <col min="6146" max="6146" width="14.28515625" customWidth="1"/>
    <col min="6147" max="6147" width="13" customWidth="1"/>
    <col min="6148" max="6148" width="35.5703125" customWidth="1"/>
    <col min="6149" max="6149" width="41.5703125" customWidth="1"/>
    <col min="6150" max="6150" width="15.5703125" customWidth="1"/>
    <col min="6151" max="6151" width="11.42578125" customWidth="1"/>
    <col min="6152" max="6153" width="15.42578125" customWidth="1"/>
    <col min="6154" max="6154" width="14.28515625" customWidth="1"/>
    <col min="6156" max="6156" width="10.5703125" bestFit="1" customWidth="1"/>
    <col min="6401" max="6401" width="12.7109375" customWidth="1"/>
    <col min="6402" max="6402" width="14.28515625" customWidth="1"/>
    <col min="6403" max="6403" width="13" customWidth="1"/>
    <col min="6404" max="6404" width="35.5703125" customWidth="1"/>
    <col min="6405" max="6405" width="41.5703125" customWidth="1"/>
    <col min="6406" max="6406" width="15.5703125" customWidth="1"/>
    <col min="6407" max="6407" width="11.42578125" customWidth="1"/>
    <col min="6408" max="6409" width="15.42578125" customWidth="1"/>
    <col min="6410" max="6410" width="14.28515625" customWidth="1"/>
    <col min="6412" max="6412" width="10.5703125" bestFit="1" customWidth="1"/>
    <col min="6657" max="6657" width="12.7109375" customWidth="1"/>
    <col min="6658" max="6658" width="14.28515625" customWidth="1"/>
    <col min="6659" max="6659" width="13" customWidth="1"/>
    <col min="6660" max="6660" width="35.5703125" customWidth="1"/>
    <col min="6661" max="6661" width="41.5703125" customWidth="1"/>
    <col min="6662" max="6662" width="15.5703125" customWidth="1"/>
    <col min="6663" max="6663" width="11.42578125" customWidth="1"/>
    <col min="6664" max="6665" width="15.42578125" customWidth="1"/>
    <col min="6666" max="6666" width="14.28515625" customWidth="1"/>
    <col min="6668" max="6668" width="10.5703125" bestFit="1" customWidth="1"/>
    <col min="6913" max="6913" width="12.7109375" customWidth="1"/>
    <col min="6914" max="6914" width="14.28515625" customWidth="1"/>
    <col min="6915" max="6915" width="13" customWidth="1"/>
    <col min="6916" max="6916" width="35.5703125" customWidth="1"/>
    <col min="6917" max="6917" width="41.5703125" customWidth="1"/>
    <col min="6918" max="6918" width="15.5703125" customWidth="1"/>
    <col min="6919" max="6919" width="11.42578125" customWidth="1"/>
    <col min="6920" max="6921" width="15.42578125" customWidth="1"/>
    <col min="6922" max="6922" width="14.28515625" customWidth="1"/>
    <col min="6924" max="6924" width="10.5703125" bestFit="1" customWidth="1"/>
    <col min="7169" max="7169" width="12.7109375" customWidth="1"/>
    <col min="7170" max="7170" width="14.28515625" customWidth="1"/>
    <col min="7171" max="7171" width="13" customWidth="1"/>
    <col min="7172" max="7172" width="35.5703125" customWidth="1"/>
    <col min="7173" max="7173" width="41.5703125" customWidth="1"/>
    <col min="7174" max="7174" width="15.5703125" customWidth="1"/>
    <col min="7175" max="7175" width="11.42578125" customWidth="1"/>
    <col min="7176" max="7177" width="15.42578125" customWidth="1"/>
    <col min="7178" max="7178" width="14.28515625" customWidth="1"/>
    <col min="7180" max="7180" width="10.5703125" bestFit="1" customWidth="1"/>
    <col min="7425" max="7425" width="12.7109375" customWidth="1"/>
    <col min="7426" max="7426" width="14.28515625" customWidth="1"/>
    <col min="7427" max="7427" width="13" customWidth="1"/>
    <col min="7428" max="7428" width="35.5703125" customWidth="1"/>
    <col min="7429" max="7429" width="41.5703125" customWidth="1"/>
    <col min="7430" max="7430" width="15.5703125" customWidth="1"/>
    <col min="7431" max="7431" width="11.42578125" customWidth="1"/>
    <col min="7432" max="7433" width="15.42578125" customWidth="1"/>
    <col min="7434" max="7434" width="14.28515625" customWidth="1"/>
    <col min="7436" max="7436" width="10.5703125" bestFit="1" customWidth="1"/>
    <col min="7681" max="7681" width="12.7109375" customWidth="1"/>
    <col min="7682" max="7682" width="14.28515625" customWidth="1"/>
    <col min="7683" max="7683" width="13" customWidth="1"/>
    <col min="7684" max="7684" width="35.5703125" customWidth="1"/>
    <col min="7685" max="7685" width="41.5703125" customWidth="1"/>
    <col min="7686" max="7686" width="15.5703125" customWidth="1"/>
    <col min="7687" max="7687" width="11.42578125" customWidth="1"/>
    <col min="7688" max="7689" width="15.42578125" customWidth="1"/>
    <col min="7690" max="7690" width="14.28515625" customWidth="1"/>
    <col min="7692" max="7692" width="10.5703125" bestFit="1" customWidth="1"/>
    <col min="7937" max="7937" width="12.7109375" customWidth="1"/>
    <col min="7938" max="7938" width="14.28515625" customWidth="1"/>
    <col min="7939" max="7939" width="13" customWidth="1"/>
    <col min="7940" max="7940" width="35.5703125" customWidth="1"/>
    <col min="7941" max="7941" width="41.5703125" customWidth="1"/>
    <col min="7942" max="7942" width="15.5703125" customWidth="1"/>
    <col min="7943" max="7943" width="11.42578125" customWidth="1"/>
    <col min="7944" max="7945" width="15.42578125" customWidth="1"/>
    <col min="7946" max="7946" width="14.28515625" customWidth="1"/>
    <col min="7948" max="7948" width="10.5703125" bestFit="1" customWidth="1"/>
    <col min="8193" max="8193" width="12.7109375" customWidth="1"/>
    <col min="8194" max="8194" width="14.28515625" customWidth="1"/>
    <col min="8195" max="8195" width="13" customWidth="1"/>
    <col min="8196" max="8196" width="35.5703125" customWidth="1"/>
    <col min="8197" max="8197" width="41.5703125" customWidth="1"/>
    <col min="8198" max="8198" width="15.5703125" customWidth="1"/>
    <col min="8199" max="8199" width="11.42578125" customWidth="1"/>
    <col min="8200" max="8201" width="15.42578125" customWidth="1"/>
    <col min="8202" max="8202" width="14.28515625" customWidth="1"/>
    <col min="8204" max="8204" width="10.5703125" bestFit="1" customWidth="1"/>
    <col min="8449" max="8449" width="12.7109375" customWidth="1"/>
    <col min="8450" max="8450" width="14.28515625" customWidth="1"/>
    <col min="8451" max="8451" width="13" customWidth="1"/>
    <col min="8452" max="8452" width="35.5703125" customWidth="1"/>
    <col min="8453" max="8453" width="41.5703125" customWidth="1"/>
    <col min="8454" max="8454" width="15.5703125" customWidth="1"/>
    <col min="8455" max="8455" width="11.42578125" customWidth="1"/>
    <col min="8456" max="8457" width="15.42578125" customWidth="1"/>
    <col min="8458" max="8458" width="14.28515625" customWidth="1"/>
    <col min="8460" max="8460" width="10.5703125" bestFit="1" customWidth="1"/>
    <col min="8705" max="8705" width="12.7109375" customWidth="1"/>
    <col min="8706" max="8706" width="14.28515625" customWidth="1"/>
    <col min="8707" max="8707" width="13" customWidth="1"/>
    <col min="8708" max="8708" width="35.5703125" customWidth="1"/>
    <col min="8709" max="8709" width="41.5703125" customWidth="1"/>
    <col min="8710" max="8710" width="15.5703125" customWidth="1"/>
    <col min="8711" max="8711" width="11.42578125" customWidth="1"/>
    <col min="8712" max="8713" width="15.42578125" customWidth="1"/>
    <col min="8714" max="8714" width="14.28515625" customWidth="1"/>
    <col min="8716" max="8716" width="10.5703125" bestFit="1" customWidth="1"/>
    <col min="8961" max="8961" width="12.7109375" customWidth="1"/>
    <col min="8962" max="8962" width="14.28515625" customWidth="1"/>
    <col min="8963" max="8963" width="13" customWidth="1"/>
    <col min="8964" max="8964" width="35.5703125" customWidth="1"/>
    <col min="8965" max="8965" width="41.5703125" customWidth="1"/>
    <col min="8966" max="8966" width="15.5703125" customWidth="1"/>
    <col min="8967" max="8967" width="11.42578125" customWidth="1"/>
    <col min="8968" max="8969" width="15.42578125" customWidth="1"/>
    <col min="8970" max="8970" width="14.28515625" customWidth="1"/>
    <col min="8972" max="8972" width="10.5703125" bestFit="1" customWidth="1"/>
    <col min="9217" max="9217" width="12.7109375" customWidth="1"/>
    <col min="9218" max="9218" width="14.28515625" customWidth="1"/>
    <col min="9219" max="9219" width="13" customWidth="1"/>
    <col min="9220" max="9220" width="35.5703125" customWidth="1"/>
    <col min="9221" max="9221" width="41.5703125" customWidth="1"/>
    <col min="9222" max="9222" width="15.5703125" customWidth="1"/>
    <col min="9223" max="9223" width="11.42578125" customWidth="1"/>
    <col min="9224" max="9225" width="15.42578125" customWidth="1"/>
    <col min="9226" max="9226" width="14.28515625" customWidth="1"/>
    <col min="9228" max="9228" width="10.5703125" bestFit="1" customWidth="1"/>
    <col min="9473" max="9473" width="12.7109375" customWidth="1"/>
    <col min="9474" max="9474" width="14.28515625" customWidth="1"/>
    <col min="9475" max="9475" width="13" customWidth="1"/>
    <col min="9476" max="9476" width="35.5703125" customWidth="1"/>
    <col min="9477" max="9477" width="41.5703125" customWidth="1"/>
    <col min="9478" max="9478" width="15.5703125" customWidth="1"/>
    <col min="9479" max="9479" width="11.42578125" customWidth="1"/>
    <col min="9480" max="9481" width="15.42578125" customWidth="1"/>
    <col min="9482" max="9482" width="14.28515625" customWidth="1"/>
    <col min="9484" max="9484" width="10.5703125" bestFit="1" customWidth="1"/>
    <col min="9729" max="9729" width="12.7109375" customWidth="1"/>
    <col min="9730" max="9730" width="14.28515625" customWidth="1"/>
    <col min="9731" max="9731" width="13" customWidth="1"/>
    <col min="9732" max="9732" width="35.5703125" customWidth="1"/>
    <col min="9733" max="9733" width="41.5703125" customWidth="1"/>
    <col min="9734" max="9734" width="15.5703125" customWidth="1"/>
    <col min="9735" max="9735" width="11.42578125" customWidth="1"/>
    <col min="9736" max="9737" width="15.42578125" customWidth="1"/>
    <col min="9738" max="9738" width="14.28515625" customWidth="1"/>
    <col min="9740" max="9740" width="10.5703125" bestFit="1" customWidth="1"/>
    <col min="9985" max="9985" width="12.7109375" customWidth="1"/>
    <col min="9986" max="9986" width="14.28515625" customWidth="1"/>
    <col min="9987" max="9987" width="13" customWidth="1"/>
    <col min="9988" max="9988" width="35.5703125" customWidth="1"/>
    <col min="9989" max="9989" width="41.5703125" customWidth="1"/>
    <col min="9990" max="9990" width="15.5703125" customWidth="1"/>
    <col min="9991" max="9991" width="11.42578125" customWidth="1"/>
    <col min="9992" max="9993" width="15.42578125" customWidth="1"/>
    <col min="9994" max="9994" width="14.28515625" customWidth="1"/>
    <col min="9996" max="9996" width="10.5703125" bestFit="1" customWidth="1"/>
    <col min="10241" max="10241" width="12.7109375" customWidth="1"/>
    <col min="10242" max="10242" width="14.28515625" customWidth="1"/>
    <col min="10243" max="10243" width="13" customWidth="1"/>
    <col min="10244" max="10244" width="35.5703125" customWidth="1"/>
    <col min="10245" max="10245" width="41.5703125" customWidth="1"/>
    <col min="10246" max="10246" width="15.5703125" customWidth="1"/>
    <col min="10247" max="10247" width="11.42578125" customWidth="1"/>
    <col min="10248" max="10249" width="15.42578125" customWidth="1"/>
    <col min="10250" max="10250" width="14.28515625" customWidth="1"/>
    <col min="10252" max="10252" width="10.5703125" bestFit="1" customWidth="1"/>
    <col min="10497" max="10497" width="12.7109375" customWidth="1"/>
    <col min="10498" max="10498" width="14.28515625" customWidth="1"/>
    <col min="10499" max="10499" width="13" customWidth="1"/>
    <col min="10500" max="10500" width="35.5703125" customWidth="1"/>
    <col min="10501" max="10501" width="41.5703125" customWidth="1"/>
    <col min="10502" max="10502" width="15.5703125" customWidth="1"/>
    <col min="10503" max="10503" width="11.42578125" customWidth="1"/>
    <col min="10504" max="10505" width="15.42578125" customWidth="1"/>
    <col min="10506" max="10506" width="14.28515625" customWidth="1"/>
    <col min="10508" max="10508" width="10.5703125" bestFit="1" customWidth="1"/>
    <col min="10753" max="10753" width="12.7109375" customWidth="1"/>
    <col min="10754" max="10754" width="14.28515625" customWidth="1"/>
    <col min="10755" max="10755" width="13" customWidth="1"/>
    <col min="10756" max="10756" width="35.5703125" customWidth="1"/>
    <col min="10757" max="10757" width="41.5703125" customWidth="1"/>
    <col min="10758" max="10758" width="15.5703125" customWidth="1"/>
    <col min="10759" max="10759" width="11.42578125" customWidth="1"/>
    <col min="10760" max="10761" width="15.42578125" customWidth="1"/>
    <col min="10762" max="10762" width="14.28515625" customWidth="1"/>
    <col min="10764" max="10764" width="10.5703125" bestFit="1" customWidth="1"/>
    <col min="11009" max="11009" width="12.7109375" customWidth="1"/>
    <col min="11010" max="11010" width="14.28515625" customWidth="1"/>
    <col min="11011" max="11011" width="13" customWidth="1"/>
    <col min="11012" max="11012" width="35.5703125" customWidth="1"/>
    <col min="11013" max="11013" width="41.5703125" customWidth="1"/>
    <col min="11014" max="11014" width="15.5703125" customWidth="1"/>
    <col min="11015" max="11015" width="11.42578125" customWidth="1"/>
    <col min="11016" max="11017" width="15.42578125" customWidth="1"/>
    <col min="11018" max="11018" width="14.28515625" customWidth="1"/>
    <col min="11020" max="11020" width="10.5703125" bestFit="1" customWidth="1"/>
    <col min="11265" max="11265" width="12.7109375" customWidth="1"/>
    <col min="11266" max="11266" width="14.28515625" customWidth="1"/>
    <col min="11267" max="11267" width="13" customWidth="1"/>
    <col min="11268" max="11268" width="35.5703125" customWidth="1"/>
    <col min="11269" max="11269" width="41.5703125" customWidth="1"/>
    <col min="11270" max="11270" width="15.5703125" customWidth="1"/>
    <col min="11271" max="11271" width="11.42578125" customWidth="1"/>
    <col min="11272" max="11273" width="15.42578125" customWidth="1"/>
    <col min="11274" max="11274" width="14.28515625" customWidth="1"/>
    <col min="11276" max="11276" width="10.5703125" bestFit="1" customWidth="1"/>
    <col min="11521" max="11521" width="12.7109375" customWidth="1"/>
    <col min="11522" max="11522" width="14.28515625" customWidth="1"/>
    <col min="11523" max="11523" width="13" customWidth="1"/>
    <col min="11524" max="11524" width="35.5703125" customWidth="1"/>
    <col min="11525" max="11525" width="41.5703125" customWidth="1"/>
    <col min="11526" max="11526" width="15.5703125" customWidth="1"/>
    <col min="11527" max="11527" width="11.42578125" customWidth="1"/>
    <col min="11528" max="11529" width="15.42578125" customWidth="1"/>
    <col min="11530" max="11530" width="14.28515625" customWidth="1"/>
    <col min="11532" max="11532" width="10.5703125" bestFit="1" customWidth="1"/>
    <col min="11777" max="11777" width="12.7109375" customWidth="1"/>
    <col min="11778" max="11778" width="14.28515625" customWidth="1"/>
    <col min="11779" max="11779" width="13" customWidth="1"/>
    <col min="11780" max="11780" width="35.5703125" customWidth="1"/>
    <col min="11781" max="11781" width="41.5703125" customWidth="1"/>
    <col min="11782" max="11782" width="15.5703125" customWidth="1"/>
    <col min="11783" max="11783" width="11.42578125" customWidth="1"/>
    <col min="11784" max="11785" width="15.42578125" customWidth="1"/>
    <col min="11786" max="11786" width="14.28515625" customWidth="1"/>
    <col min="11788" max="11788" width="10.5703125" bestFit="1" customWidth="1"/>
    <col min="12033" max="12033" width="12.7109375" customWidth="1"/>
    <col min="12034" max="12034" width="14.28515625" customWidth="1"/>
    <col min="12035" max="12035" width="13" customWidth="1"/>
    <col min="12036" max="12036" width="35.5703125" customWidth="1"/>
    <col min="12037" max="12037" width="41.5703125" customWidth="1"/>
    <col min="12038" max="12038" width="15.5703125" customWidth="1"/>
    <col min="12039" max="12039" width="11.42578125" customWidth="1"/>
    <col min="12040" max="12041" width="15.42578125" customWidth="1"/>
    <col min="12042" max="12042" width="14.28515625" customWidth="1"/>
    <col min="12044" max="12044" width="10.5703125" bestFit="1" customWidth="1"/>
    <col min="12289" max="12289" width="12.7109375" customWidth="1"/>
    <col min="12290" max="12290" width="14.28515625" customWidth="1"/>
    <col min="12291" max="12291" width="13" customWidth="1"/>
    <col min="12292" max="12292" width="35.5703125" customWidth="1"/>
    <col min="12293" max="12293" width="41.5703125" customWidth="1"/>
    <col min="12294" max="12294" width="15.5703125" customWidth="1"/>
    <col min="12295" max="12295" width="11.42578125" customWidth="1"/>
    <col min="12296" max="12297" width="15.42578125" customWidth="1"/>
    <col min="12298" max="12298" width="14.28515625" customWidth="1"/>
    <col min="12300" max="12300" width="10.5703125" bestFit="1" customWidth="1"/>
    <col min="12545" max="12545" width="12.7109375" customWidth="1"/>
    <col min="12546" max="12546" width="14.28515625" customWidth="1"/>
    <col min="12547" max="12547" width="13" customWidth="1"/>
    <col min="12548" max="12548" width="35.5703125" customWidth="1"/>
    <col min="12549" max="12549" width="41.5703125" customWidth="1"/>
    <col min="12550" max="12550" width="15.5703125" customWidth="1"/>
    <col min="12551" max="12551" width="11.42578125" customWidth="1"/>
    <col min="12552" max="12553" width="15.42578125" customWidth="1"/>
    <col min="12554" max="12554" width="14.28515625" customWidth="1"/>
    <col min="12556" max="12556" width="10.5703125" bestFit="1" customWidth="1"/>
    <col min="12801" max="12801" width="12.7109375" customWidth="1"/>
    <col min="12802" max="12802" width="14.28515625" customWidth="1"/>
    <col min="12803" max="12803" width="13" customWidth="1"/>
    <col min="12804" max="12804" width="35.5703125" customWidth="1"/>
    <col min="12805" max="12805" width="41.5703125" customWidth="1"/>
    <col min="12806" max="12806" width="15.5703125" customWidth="1"/>
    <col min="12807" max="12807" width="11.42578125" customWidth="1"/>
    <col min="12808" max="12809" width="15.42578125" customWidth="1"/>
    <col min="12810" max="12810" width="14.28515625" customWidth="1"/>
    <col min="12812" max="12812" width="10.5703125" bestFit="1" customWidth="1"/>
    <col min="13057" max="13057" width="12.7109375" customWidth="1"/>
    <col min="13058" max="13058" width="14.28515625" customWidth="1"/>
    <col min="13059" max="13059" width="13" customWidth="1"/>
    <col min="13060" max="13060" width="35.5703125" customWidth="1"/>
    <col min="13061" max="13061" width="41.5703125" customWidth="1"/>
    <col min="13062" max="13062" width="15.5703125" customWidth="1"/>
    <col min="13063" max="13063" width="11.42578125" customWidth="1"/>
    <col min="13064" max="13065" width="15.42578125" customWidth="1"/>
    <col min="13066" max="13066" width="14.28515625" customWidth="1"/>
    <col min="13068" max="13068" width="10.5703125" bestFit="1" customWidth="1"/>
    <col min="13313" max="13313" width="12.7109375" customWidth="1"/>
    <col min="13314" max="13314" width="14.28515625" customWidth="1"/>
    <col min="13315" max="13315" width="13" customWidth="1"/>
    <col min="13316" max="13316" width="35.5703125" customWidth="1"/>
    <col min="13317" max="13317" width="41.5703125" customWidth="1"/>
    <col min="13318" max="13318" width="15.5703125" customWidth="1"/>
    <col min="13319" max="13319" width="11.42578125" customWidth="1"/>
    <col min="13320" max="13321" width="15.42578125" customWidth="1"/>
    <col min="13322" max="13322" width="14.28515625" customWidth="1"/>
    <col min="13324" max="13324" width="10.5703125" bestFit="1" customWidth="1"/>
    <col min="13569" max="13569" width="12.7109375" customWidth="1"/>
    <col min="13570" max="13570" width="14.28515625" customWidth="1"/>
    <col min="13571" max="13571" width="13" customWidth="1"/>
    <col min="13572" max="13572" width="35.5703125" customWidth="1"/>
    <col min="13573" max="13573" width="41.5703125" customWidth="1"/>
    <col min="13574" max="13574" width="15.5703125" customWidth="1"/>
    <col min="13575" max="13575" width="11.42578125" customWidth="1"/>
    <col min="13576" max="13577" width="15.42578125" customWidth="1"/>
    <col min="13578" max="13578" width="14.28515625" customWidth="1"/>
    <col min="13580" max="13580" width="10.5703125" bestFit="1" customWidth="1"/>
    <col min="13825" max="13825" width="12.7109375" customWidth="1"/>
    <col min="13826" max="13826" width="14.28515625" customWidth="1"/>
    <col min="13827" max="13827" width="13" customWidth="1"/>
    <col min="13828" max="13828" width="35.5703125" customWidth="1"/>
    <col min="13829" max="13829" width="41.5703125" customWidth="1"/>
    <col min="13830" max="13830" width="15.5703125" customWidth="1"/>
    <col min="13831" max="13831" width="11.42578125" customWidth="1"/>
    <col min="13832" max="13833" width="15.42578125" customWidth="1"/>
    <col min="13834" max="13834" width="14.28515625" customWidth="1"/>
    <col min="13836" max="13836" width="10.5703125" bestFit="1" customWidth="1"/>
    <col min="14081" max="14081" width="12.7109375" customWidth="1"/>
    <col min="14082" max="14082" width="14.28515625" customWidth="1"/>
    <col min="14083" max="14083" width="13" customWidth="1"/>
    <col min="14084" max="14084" width="35.5703125" customWidth="1"/>
    <col min="14085" max="14085" width="41.5703125" customWidth="1"/>
    <col min="14086" max="14086" width="15.5703125" customWidth="1"/>
    <col min="14087" max="14087" width="11.42578125" customWidth="1"/>
    <col min="14088" max="14089" width="15.42578125" customWidth="1"/>
    <col min="14090" max="14090" width="14.28515625" customWidth="1"/>
    <col min="14092" max="14092" width="10.5703125" bestFit="1" customWidth="1"/>
    <col min="14337" max="14337" width="12.7109375" customWidth="1"/>
    <col min="14338" max="14338" width="14.28515625" customWidth="1"/>
    <col min="14339" max="14339" width="13" customWidth="1"/>
    <col min="14340" max="14340" width="35.5703125" customWidth="1"/>
    <col min="14341" max="14341" width="41.5703125" customWidth="1"/>
    <col min="14342" max="14342" width="15.5703125" customWidth="1"/>
    <col min="14343" max="14343" width="11.42578125" customWidth="1"/>
    <col min="14344" max="14345" width="15.42578125" customWidth="1"/>
    <col min="14346" max="14346" width="14.28515625" customWidth="1"/>
    <col min="14348" max="14348" width="10.5703125" bestFit="1" customWidth="1"/>
    <col min="14593" max="14593" width="12.7109375" customWidth="1"/>
    <col min="14594" max="14594" width="14.28515625" customWidth="1"/>
    <col min="14595" max="14595" width="13" customWidth="1"/>
    <col min="14596" max="14596" width="35.5703125" customWidth="1"/>
    <col min="14597" max="14597" width="41.5703125" customWidth="1"/>
    <col min="14598" max="14598" width="15.5703125" customWidth="1"/>
    <col min="14599" max="14599" width="11.42578125" customWidth="1"/>
    <col min="14600" max="14601" width="15.42578125" customWidth="1"/>
    <col min="14602" max="14602" width="14.28515625" customWidth="1"/>
    <col min="14604" max="14604" width="10.5703125" bestFit="1" customWidth="1"/>
    <col min="14849" max="14849" width="12.7109375" customWidth="1"/>
    <col min="14850" max="14850" width="14.28515625" customWidth="1"/>
    <col min="14851" max="14851" width="13" customWidth="1"/>
    <col min="14852" max="14852" width="35.5703125" customWidth="1"/>
    <col min="14853" max="14853" width="41.5703125" customWidth="1"/>
    <col min="14854" max="14854" width="15.5703125" customWidth="1"/>
    <col min="14855" max="14855" width="11.42578125" customWidth="1"/>
    <col min="14856" max="14857" width="15.42578125" customWidth="1"/>
    <col min="14858" max="14858" width="14.28515625" customWidth="1"/>
    <col min="14860" max="14860" width="10.5703125" bestFit="1" customWidth="1"/>
    <col min="15105" max="15105" width="12.7109375" customWidth="1"/>
    <col min="15106" max="15106" width="14.28515625" customWidth="1"/>
    <col min="15107" max="15107" width="13" customWidth="1"/>
    <col min="15108" max="15108" width="35.5703125" customWidth="1"/>
    <col min="15109" max="15109" width="41.5703125" customWidth="1"/>
    <col min="15110" max="15110" width="15.5703125" customWidth="1"/>
    <col min="15111" max="15111" width="11.42578125" customWidth="1"/>
    <col min="15112" max="15113" width="15.42578125" customWidth="1"/>
    <col min="15114" max="15114" width="14.28515625" customWidth="1"/>
    <col min="15116" max="15116" width="10.5703125" bestFit="1" customWidth="1"/>
    <col min="15361" max="15361" width="12.7109375" customWidth="1"/>
    <col min="15362" max="15362" width="14.28515625" customWidth="1"/>
    <col min="15363" max="15363" width="13" customWidth="1"/>
    <col min="15364" max="15364" width="35.5703125" customWidth="1"/>
    <col min="15365" max="15365" width="41.5703125" customWidth="1"/>
    <col min="15366" max="15366" width="15.5703125" customWidth="1"/>
    <col min="15367" max="15367" width="11.42578125" customWidth="1"/>
    <col min="15368" max="15369" width="15.42578125" customWidth="1"/>
    <col min="15370" max="15370" width="14.28515625" customWidth="1"/>
    <col min="15372" max="15372" width="10.5703125" bestFit="1" customWidth="1"/>
    <col min="15617" max="15617" width="12.7109375" customWidth="1"/>
    <col min="15618" max="15618" width="14.28515625" customWidth="1"/>
    <col min="15619" max="15619" width="13" customWidth="1"/>
    <col min="15620" max="15620" width="35.5703125" customWidth="1"/>
    <col min="15621" max="15621" width="41.5703125" customWidth="1"/>
    <col min="15622" max="15622" width="15.5703125" customWidth="1"/>
    <col min="15623" max="15623" width="11.42578125" customWidth="1"/>
    <col min="15624" max="15625" width="15.42578125" customWidth="1"/>
    <col min="15626" max="15626" width="14.28515625" customWidth="1"/>
    <col min="15628" max="15628" width="10.5703125" bestFit="1" customWidth="1"/>
    <col min="15873" max="15873" width="12.7109375" customWidth="1"/>
    <col min="15874" max="15874" width="14.28515625" customWidth="1"/>
    <col min="15875" max="15875" width="13" customWidth="1"/>
    <col min="15876" max="15876" width="35.5703125" customWidth="1"/>
    <col min="15877" max="15877" width="41.5703125" customWidth="1"/>
    <col min="15878" max="15878" width="15.5703125" customWidth="1"/>
    <col min="15879" max="15879" width="11.42578125" customWidth="1"/>
    <col min="15880" max="15881" width="15.42578125" customWidth="1"/>
    <col min="15882" max="15882" width="14.28515625" customWidth="1"/>
    <col min="15884" max="15884" width="10.5703125" bestFit="1" customWidth="1"/>
    <col min="16129" max="16129" width="12.7109375" customWidth="1"/>
    <col min="16130" max="16130" width="14.28515625" customWidth="1"/>
    <col min="16131" max="16131" width="13" customWidth="1"/>
    <col min="16132" max="16132" width="35.5703125" customWidth="1"/>
    <col min="16133" max="16133" width="41.5703125" customWidth="1"/>
    <col min="16134" max="16134" width="15.5703125" customWidth="1"/>
    <col min="16135" max="16135" width="11.42578125" customWidth="1"/>
    <col min="16136" max="16137" width="15.42578125" customWidth="1"/>
    <col min="16138" max="16138" width="14.28515625" customWidth="1"/>
    <col min="16140" max="16140" width="10.5703125" bestFit="1" customWidth="1"/>
  </cols>
  <sheetData>
    <row r="1" spans="1:15" ht="15">
      <c r="C1" s="361"/>
      <c r="D1" s="361"/>
      <c r="E1" s="361"/>
      <c r="F1" s="136"/>
      <c r="G1" s="136"/>
      <c r="H1" s="328" t="s">
        <v>616</v>
      </c>
      <c r="I1" s="328"/>
      <c r="J1" s="328"/>
    </row>
    <row r="2" spans="1:15" ht="13.5">
      <c r="B2" s="361"/>
      <c r="C2" s="361"/>
      <c r="D2" s="361"/>
      <c r="E2" s="361"/>
      <c r="F2" s="118" t="s">
        <v>613</v>
      </c>
      <c r="G2" s="118"/>
      <c r="H2" s="118"/>
      <c r="I2" s="118"/>
      <c r="J2" s="118"/>
    </row>
    <row r="3" spans="1:15" ht="13.5">
      <c r="B3" s="361"/>
      <c r="C3" s="361"/>
      <c r="D3" s="361"/>
      <c r="E3" s="361"/>
      <c r="F3" s="118" t="s">
        <v>696</v>
      </c>
      <c r="G3" s="118"/>
      <c r="H3" s="118"/>
      <c r="I3" s="118"/>
      <c r="J3" s="118"/>
    </row>
    <row r="4" spans="1:15" ht="13.5">
      <c r="B4" s="361"/>
      <c r="C4" s="361"/>
      <c r="D4" s="361"/>
      <c r="E4" s="361"/>
      <c r="F4" s="118" t="s">
        <v>697</v>
      </c>
      <c r="G4" s="118"/>
      <c r="H4" s="118"/>
      <c r="I4" s="118"/>
      <c r="J4" s="118"/>
    </row>
    <row r="5" spans="1:15" ht="13.5">
      <c r="B5" s="362"/>
      <c r="C5" s="362"/>
      <c r="D5" s="361"/>
      <c r="E5" s="361"/>
      <c r="F5" s="530" t="s">
        <v>755</v>
      </c>
      <c r="G5" s="530"/>
      <c r="H5" s="530"/>
      <c r="I5" s="530"/>
      <c r="J5" s="530"/>
    </row>
    <row r="6" spans="1:15" ht="13.5">
      <c r="B6" s="362"/>
      <c r="C6" s="362"/>
      <c r="D6" s="361"/>
      <c r="E6" s="361"/>
      <c r="F6" s="118"/>
      <c r="G6" s="118"/>
      <c r="H6" s="118"/>
      <c r="I6" s="118"/>
      <c r="J6" s="118"/>
    </row>
    <row r="7" spans="1:15" ht="30.75" customHeight="1">
      <c r="B7" s="571" t="s">
        <v>655</v>
      </c>
      <c r="C7" s="571"/>
      <c r="D7" s="571"/>
      <c r="E7" s="571"/>
      <c r="F7" s="571"/>
      <c r="G7" s="571"/>
      <c r="H7" s="571"/>
      <c r="I7" s="571"/>
      <c r="J7" s="571"/>
    </row>
    <row r="8" spans="1:15" ht="16.5" customHeight="1">
      <c r="A8" s="119">
        <v>2356400000</v>
      </c>
      <c r="B8" s="363"/>
      <c r="C8" s="363"/>
      <c r="D8" s="363"/>
      <c r="E8" s="363"/>
      <c r="F8" s="363"/>
      <c r="G8" s="363"/>
      <c r="H8" s="363"/>
      <c r="I8" s="363"/>
      <c r="J8" s="363"/>
    </row>
    <row r="9" spans="1:15" ht="14.25" customHeight="1">
      <c r="A9" s="33" t="s">
        <v>525</v>
      </c>
      <c r="B9" s="363"/>
      <c r="C9" s="363"/>
      <c r="D9" s="363"/>
      <c r="E9" s="363"/>
      <c r="F9" s="363"/>
      <c r="G9" s="363"/>
      <c r="H9" s="363"/>
      <c r="I9" s="363"/>
      <c r="J9" s="363"/>
    </row>
    <row r="10" spans="1:15" ht="15">
      <c r="J10" s="1" t="s">
        <v>29</v>
      </c>
      <c r="N10" s="572"/>
      <c r="O10" s="572"/>
    </row>
    <row r="11" spans="1:15" ht="73.5" customHeight="1">
      <c r="A11" s="502" t="s">
        <v>328</v>
      </c>
      <c r="B11" s="502" t="s">
        <v>499</v>
      </c>
      <c r="C11" s="502" t="s">
        <v>468</v>
      </c>
      <c r="D11" s="502" t="s">
        <v>639</v>
      </c>
      <c r="E11" s="502" t="s">
        <v>640</v>
      </c>
      <c r="F11" s="502" t="s">
        <v>641</v>
      </c>
      <c r="G11" s="502" t="s">
        <v>642</v>
      </c>
      <c r="H11" s="502" t="s">
        <v>643</v>
      </c>
      <c r="I11" s="502" t="s">
        <v>656</v>
      </c>
      <c r="J11" s="502" t="s">
        <v>657</v>
      </c>
      <c r="K11" s="364"/>
    </row>
    <row r="12" spans="1:15" ht="72" customHeight="1">
      <c r="A12" s="504"/>
      <c r="B12" s="504"/>
      <c r="C12" s="504"/>
      <c r="D12" s="504"/>
      <c r="E12" s="504"/>
      <c r="F12" s="504"/>
      <c r="G12" s="504"/>
      <c r="H12" s="504"/>
      <c r="I12" s="504"/>
      <c r="J12" s="504"/>
      <c r="K12" s="364"/>
    </row>
    <row r="13" spans="1:15" ht="16.5" customHeight="1">
      <c r="A13" s="330">
        <v>1</v>
      </c>
      <c r="B13" s="330">
        <v>2</v>
      </c>
      <c r="C13" s="330">
        <v>3</v>
      </c>
      <c r="D13" s="330">
        <v>4</v>
      </c>
      <c r="E13" s="330">
        <v>5</v>
      </c>
      <c r="F13" s="330">
        <v>6</v>
      </c>
      <c r="G13" s="330">
        <v>7</v>
      </c>
      <c r="H13" s="330">
        <v>8</v>
      </c>
      <c r="I13" s="330"/>
      <c r="J13" s="330">
        <v>9</v>
      </c>
      <c r="K13" s="364"/>
    </row>
    <row r="14" spans="1:15" ht="27.2" customHeight="1">
      <c r="A14" s="365" t="s">
        <v>4</v>
      </c>
      <c r="B14" s="366"/>
      <c r="C14" s="366"/>
      <c r="D14" s="367" t="s">
        <v>410</v>
      </c>
      <c r="E14" s="330"/>
      <c r="F14" s="368" t="s">
        <v>556</v>
      </c>
      <c r="G14" s="368" t="s">
        <v>556</v>
      </c>
      <c r="H14" s="369">
        <f>H15</f>
        <v>4864688</v>
      </c>
      <c r="I14" s="369">
        <f>I15</f>
        <v>4864688</v>
      </c>
      <c r="J14" s="368" t="s">
        <v>556</v>
      </c>
      <c r="K14" s="364"/>
    </row>
    <row r="15" spans="1:15" ht="28.5" customHeight="1">
      <c r="A15" s="365" t="s">
        <v>5</v>
      </c>
      <c r="B15" s="365"/>
      <c r="C15" s="365"/>
      <c r="D15" s="370" t="s">
        <v>410</v>
      </c>
      <c r="E15" s="330"/>
      <c r="F15" s="368" t="s">
        <v>556</v>
      </c>
      <c r="G15" s="368" t="s">
        <v>556</v>
      </c>
      <c r="H15" s="371">
        <f>H16+H19+H20</f>
        <v>4864688</v>
      </c>
      <c r="I15" s="371">
        <f>I16+I19+I20</f>
        <v>4864688</v>
      </c>
      <c r="J15" s="368" t="s">
        <v>556</v>
      </c>
      <c r="K15" s="364"/>
    </row>
    <row r="16" spans="1:15" ht="28.5" hidden="1" customHeight="1">
      <c r="A16" s="20" t="s">
        <v>443</v>
      </c>
      <c r="B16" s="20" t="s">
        <v>427</v>
      </c>
      <c r="C16" s="20" t="s">
        <v>450</v>
      </c>
      <c r="D16" s="573" t="s">
        <v>428</v>
      </c>
      <c r="E16" s="574"/>
      <c r="F16" s="368"/>
      <c r="G16" s="368"/>
      <c r="H16" s="371">
        <f>H17+H18</f>
        <v>0</v>
      </c>
      <c r="I16" s="371">
        <f>I17+I18</f>
        <v>0</v>
      </c>
      <c r="J16" s="368"/>
      <c r="K16" s="364"/>
    </row>
    <row r="17" spans="1:11" ht="28.5" hidden="1" customHeight="1">
      <c r="A17" s="365"/>
      <c r="B17" s="365"/>
      <c r="C17" s="365"/>
      <c r="D17" s="433"/>
      <c r="E17" s="422"/>
      <c r="F17" s="368"/>
      <c r="G17" s="368"/>
      <c r="H17" s="372"/>
      <c r="I17" s="372"/>
      <c r="J17" s="368"/>
      <c r="K17" s="364"/>
    </row>
    <row r="18" spans="1:11" ht="28.5" hidden="1" customHeight="1">
      <c r="A18" s="365"/>
      <c r="B18" s="365"/>
      <c r="C18" s="365"/>
      <c r="D18" s="433"/>
      <c r="E18" s="374"/>
      <c r="F18" s="430"/>
      <c r="G18" s="430"/>
      <c r="H18" s="372"/>
      <c r="I18" s="372"/>
      <c r="J18" s="368"/>
      <c r="K18" s="364"/>
    </row>
    <row r="19" spans="1:11" ht="51.75" customHeight="1">
      <c r="A19" s="20" t="s">
        <v>689</v>
      </c>
      <c r="B19" s="432">
        <v>7310</v>
      </c>
      <c r="C19" s="20" t="s">
        <v>688</v>
      </c>
      <c r="D19" s="201" t="s">
        <v>690</v>
      </c>
      <c r="E19" s="429" t="s">
        <v>683</v>
      </c>
      <c r="F19" s="430"/>
      <c r="G19" s="430"/>
      <c r="H19" s="372">
        <v>364688</v>
      </c>
      <c r="I19" s="372">
        <v>364688</v>
      </c>
      <c r="J19" s="368"/>
      <c r="K19" s="364"/>
    </row>
    <row r="20" spans="1:11" ht="18" customHeight="1">
      <c r="A20" s="20" t="s">
        <v>686</v>
      </c>
      <c r="B20" s="20" t="s">
        <v>687</v>
      </c>
      <c r="C20" s="20" t="s">
        <v>688</v>
      </c>
      <c r="D20" s="567" t="s">
        <v>685</v>
      </c>
      <c r="E20" s="568"/>
      <c r="F20" s="368"/>
      <c r="G20" s="368"/>
      <c r="H20" s="372">
        <f>H21+H22</f>
        <v>4500000</v>
      </c>
      <c r="I20" s="372">
        <f>I21+I22</f>
        <v>4500000</v>
      </c>
      <c r="J20" s="368"/>
      <c r="K20" s="364"/>
    </row>
    <row r="21" spans="1:11" ht="60" customHeight="1">
      <c r="A21" s="20"/>
      <c r="B21" s="20"/>
      <c r="C21" s="20"/>
      <c r="D21" s="373"/>
      <c r="E21" s="375" t="s">
        <v>644</v>
      </c>
      <c r="F21" s="368"/>
      <c r="G21" s="368"/>
      <c r="H21" s="372">
        <v>3000000</v>
      </c>
      <c r="I21" s="372">
        <v>3000000</v>
      </c>
      <c r="J21" s="368"/>
      <c r="K21" s="364"/>
    </row>
    <row r="22" spans="1:11" ht="75.75" customHeight="1">
      <c r="A22" s="20"/>
      <c r="B22" s="20"/>
      <c r="C22" s="20"/>
      <c r="D22" s="373"/>
      <c r="E22" s="376" t="s">
        <v>645</v>
      </c>
      <c r="F22" s="368"/>
      <c r="G22" s="368"/>
      <c r="H22" s="372">
        <v>1500000</v>
      </c>
      <c r="I22" s="372">
        <v>1500000</v>
      </c>
      <c r="J22" s="368"/>
      <c r="K22" s="364"/>
    </row>
    <row r="23" spans="1:11" ht="30" hidden="1" customHeight="1">
      <c r="A23" s="60" t="s">
        <v>56</v>
      </c>
      <c r="B23" s="378"/>
      <c r="C23" s="379"/>
      <c r="D23" s="44" t="s">
        <v>89</v>
      </c>
      <c r="E23" s="380"/>
      <c r="F23" s="368" t="s">
        <v>556</v>
      </c>
      <c r="G23" s="368" t="s">
        <v>556</v>
      </c>
      <c r="H23" s="369">
        <f>H24</f>
        <v>0</v>
      </c>
      <c r="I23" s="369">
        <f>I24</f>
        <v>0</v>
      </c>
      <c r="J23" s="368" t="s">
        <v>556</v>
      </c>
      <c r="K23" s="364"/>
    </row>
    <row r="24" spans="1:11" ht="35.25" hidden="1" customHeight="1">
      <c r="A24" s="60" t="s">
        <v>18</v>
      </c>
      <c r="B24" s="381"/>
      <c r="C24" s="382"/>
      <c r="D24" s="45" t="s">
        <v>89</v>
      </c>
      <c r="E24" s="383"/>
      <c r="F24" s="368" t="s">
        <v>556</v>
      </c>
      <c r="G24" s="368" t="s">
        <v>556</v>
      </c>
      <c r="H24" s="369">
        <f>H25+H27+H28+H29+H30</f>
        <v>0</v>
      </c>
      <c r="I24" s="369">
        <f>I25+I27+I28+I29+I30</f>
        <v>0</v>
      </c>
      <c r="J24" s="368" t="s">
        <v>556</v>
      </c>
      <c r="K24" s="364"/>
    </row>
    <row r="25" spans="1:11" ht="59.25" hidden="1" customHeight="1">
      <c r="A25" s="20"/>
      <c r="B25" s="62"/>
      <c r="C25" s="62"/>
      <c r="D25" s="377"/>
      <c r="E25" s="380"/>
      <c r="F25" s="368"/>
      <c r="G25" s="368"/>
      <c r="H25" s="372"/>
      <c r="I25" s="372"/>
      <c r="J25" s="368"/>
      <c r="K25" s="364"/>
    </row>
    <row r="26" spans="1:11" ht="39.75" hidden="1" customHeight="1">
      <c r="A26" s="330">
        <v>1</v>
      </c>
      <c r="B26" s="330">
        <v>2</v>
      </c>
      <c r="C26" s="330">
        <v>3</v>
      </c>
      <c r="D26" s="330">
        <v>4</v>
      </c>
      <c r="E26" s="330">
        <v>5</v>
      </c>
      <c r="F26" s="330">
        <v>6</v>
      </c>
      <c r="G26" s="330">
        <v>7</v>
      </c>
      <c r="H26" s="330"/>
      <c r="I26" s="330"/>
      <c r="J26" s="330">
        <v>9</v>
      </c>
      <c r="K26" s="364"/>
    </row>
    <row r="27" spans="1:11" ht="29.25" hidden="1" customHeight="1">
      <c r="A27" s="20"/>
      <c r="B27" s="62"/>
      <c r="C27" s="62"/>
      <c r="D27" s="377"/>
      <c r="E27" s="384"/>
      <c r="F27" s="330"/>
      <c r="G27" s="330"/>
      <c r="H27" s="372"/>
      <c r="I27" s="372"/>
      <c r="J27" s="368"/>
      <c r="K27" s="364"/>
    </row>
    <row r="28" spans="1:11" ht="49.5" hidden="1" customHeight="1">
      <c r="A28" s="20" t="s">
        <v>646</v>
      </c>
      <c r="B28" s="62" t="s">
        <v>118</v>
      </c>
      <c r="C28" s="62" t="s">
        <v>42</v>
      </c>
      <c r="D28" s="377" t="s">
        <v>647</v>
      </c>
      <c r="E28" s="384"/>
      <c r="F28" s="330"/>
      <c r="G28" s="330"/>
      <c r="H28" s="372"/>
      <c r="I28" s="372"/>
      <c r="J28" s="368"/>
      <c r="K28" s="364"/>
    </row>
    <row r="29" spans="1:11" ht="51" hidden="1" customHeight="1">
      <c r="A29" s="20" t="s">
        <v>21</v>
      </c>
      <c r="B29" s="20" t="s">
        <v>518</v>
      </c>
      <c r="C29" s="20" t="s">
        <v>40</v>
      </c>
      <c r="D29" s="385" t="s">
        <v>519</v>
      </c>
      <c r="E29" s="380"/>
      <c r="F29" s="372"/>
      <c r="G29" s="372"/>
      <c r="H29" s="372"/>
      <c r="I29" s="372"/>
      <c r="J29" s="372"/>
      <c r="K29" s="364"/>
    </row>
    <row r="30" spans="1:11" ht="39" hidden="1" customHeight="1">
      <c r="A30" s="20"/>
      <c r="B30" s="20"/>
      <c r="C30" s="20"/>
      <c r="D30" s="385"/>
      <c r="E30" s="380"/>
      <c r="F30" s="372"/>
      <c r="G30" s="372"/>
      <c r="H30" s="372"/>
      <c r="I30" s="372"/>
      <c r="J30" s="372"/>
      <c r="K30" s="364"/>
    </row>
    <row r="31" spans="1:11" ht="39" hidden="1" customHeight="1">
      <c r="A31" s="386" t="s">
        <v>648</v>
      </c>
      <c r="B31" s="387"/>
      <c r="C31" s="387"/>
      <c r="D31" s="44" t="s">
        <v>88</v>
      </c>
      <c r="E31" s="388"/>
      <c r="F31" s="389"/>
      <c r="G31" s="389"/>
      <c r="H31" s="389">
        <f>H32</f>
        <v>0</v>
      </c>
      <c r="I31" s="389"/>
      <c r="J31" s="389"/>
      <c r="K31" s="364"/>
    </row>
    <row r="32" spans="1:11" ht="42" hidden="1" customHeight="1">
      <c r="A32" s="386" t="s">
        <v>95</v>
      </c>
      <c r="B32" s="329"/>
      <c r="C32" s="329"/>
      <c r="D32" s="117" t="s">
        <v>88</v>
      </c>
      <c r="E32" s="390"/>
      <c r="F32" s="372"/>
      <c r="G32" s="372"/>
      <c r="H32" s="369">
        <f>H33</f>
        <v>0</v>
      </c>
      <c r="I32" s="369"/>
      <c r="J32" s="369"/>
      <c r="K32" s="364"/>
    </row>
    <row r="33" spans="1:13" ht="27.75" hidden="1" customHeight="1">
      <c r="A33" s="391" t="s">
        <v>27</v>
      </c>
      <c r="B33" s="392">
        <v>4082</v>
      </c>
      <c r="C33" s="393" t="s">
        <v>47</v>
      </c>
      <c r="D33" s="394" t="s">
        <v>542</v>
      </c>
      <c r="E33" s="390"/>
      <c r="F33" s="372"/>
      <c r="G33" s="372"/>
      <c r="H33" s="372"/>
      <c r="I33" s="372"/>
      <c r="J33" s="369"/>
      <c r="K33" s="364"/>
    </row>
    <row r="34" spans="1:13" ht="66.75" hidden="1" customHeight="1">
      <c r="A34" s="386" t="s">
        <v>57</v>
      </c>
      <c r="B34" s="395"/>
      <c r="C34" s="396"/>
      <c r="D34" s="367" t="s">
        <v>649</v>
      </c>
      <c r="E34" s="397"/>
      <c r="F34" s="398"/>
      <c r="G34" s="398"/>
      <c r="H34" s="399"/>
      <c r="I34" s="399"/>
      <c r="J34" s="389"/>
      <c r="K34" s="364"/>
    </row>
    <row r="35" spans="1:13" ht="49.5" hidden="1" customHeight="1">
      <c r="A35" s="386" t="s">
        <v>58</v>
      </c>
      <c r="B35" s="400" t="s">
        <v>650</v>
      </c>
      <c r="C35" s="401"/>
      <c r="D35" s="402" t="s">
        <v>651</v>
      </c>
      <c r="E35" s="402"/>
      <c r="F35" s="389"/>
      <c r="G35" s="389"/>
      <c r="H35" s="399"/>
      <c r="I35" s="399"/>
      <c r="J35" s="389"/>
      <c r="K35" s="364"/>
    </row>
    <row r="36" spans="1:13" ht="62.25" hidden="1" customHeight="1">
      <c r="A36" s="403" t="s">
        <v>529</v>
      </c>
      <c r="B36" s="395"/>
      <c r="C36" s="396" t="s">
        <v>55</v>
      </c>
      <c r="D36" s="404" t="s">
        <v>530</v>
      </c>
      <c r="E36" s="397"/>
      <c r="F36" s="389"/>
      <c r="G36" s="389"/>
      <c r="H36" s="399"/>
      <c r="I36" s="399"/>
      <c r="J36" s="389"/>
      <c r="K36" s="364"/>
    </row>
    <row r="37" spans="1:13" ht="27.75" hidden="1" customHeight="1">
      <c r="A37" s="403"/>
      <c r="B37" s="395"/>
      <c r="C37" s="396"/>
      <c r="D37" s="397"/>
      <c r="E37" s="405"/>
      <c r="F37" s="389"/>
      <c r="G37" s="389"/>
      <c r="H37" s="399"/>
      <c r="I37" s="399"/>
      <c r="J37" s="398"/>
      <c r="K37" s="364"/>
    </row>
    <row r="38" spans="1:13" ht="21.75" hidden="1" customHeight="1">
      <c r="A38" s="366" t="s">
        <v>59</v>
      </c>
      <c r="B38" s="366" t="s">
        <v>652</v>
      </c>
      <c r="C38" s="406" t="s">
        <v>55</v>
      </c>
      <c r="D38" s="569" t="s">
        <v>543</v>
      </c>
      <c r="E38" s="570"/>
      <c r="F38" s="407"/>
      <c r="G38" s="407"/>
      <c r="H38" s="408"/>
      <c r="I38" s="408"/>
      <c r="J38" s="407"/>
      <c r="K38" s="364"/>
    </row>
    <row r="39" spans="1:13" s="410" customFormat="1" ht="15">
      <c r="A39" s="409"/>
      <c r="C39" s="411"/>
      <c r="D39" s="411" t="s">
        <v>513</v>
      </c>
      <c r="E39" s="412"/>
      <c r="F39" s="413" t="s">
        <v>556</v>
      </c>
      <c r="G39" s="413" t="s">
        <v>556</v>
      </c>
      <c r="H39" s="413">
        <f>H14+H23+H31</f>
        <v>4864688</v>
      </c>
      <c r="I39" s="413">
        <f>I14+I23+I31</f>
        <v>4864688</v>
      </c>
      <c r="J39" s="413" t="s">
        <v>556</v>
      </c>
      <c r="K39" s="414"/>
      <c r="M39" s="415"/>
    </row>
    <row r="40" spans="1:13" s="410" customFormat="1" ht="15">
      <c r="A40" s="416"/>
      <c r="B40" s="417"/>
      <c r="C40" s="418"/>
      <c r="D40" s="419"/>
      <c r="E40" s="419"/>
      <c r="F40" s="420"/>
      <c r="G40" s="420"/>
      <c r="H40" s="420"/>
      <c r="I40" s="420"/>
      <c r="J40" s="420"/>
      <c r="K40" s="414"/>
      <c r="M40" s="415"/>
    </row>
    <row r="41" spans="1:13" s="410" customFormat="1" ht="15">
      <c r="A41" s="421" t="s">
        <v>653</v>
      </c>
      <c r="B41" s="418"/>
      <c r="C41" s="418"/>
      <c r="D41" s="419"/>
      <c r="E41" s="8" t="s">
        <v>654</v>
      </c>
      <c r="F41" s="420"/>
      <c r="G41" s="420"/>
      <c r="H41" s="420"/>
      <c r="I41" s="420"/>
      <c r="J41" s="420"/>
      <c r="K41" s="414"/>
      <c r="M41" s="415"/>
    </row>
    <row r="42" spans="1:13">
      <c r="B42" s="421"/>
    </row>
    <row r="43" spans="1:13" ht="15">
      <c r="B43" s="7"/>
      <c r="C43" s="7"/>
      <c r="D43" s="1"/>
      <c r="E43" s="1"/>
      <c r="G43" s="7"/>
    </row>
  </sheetData>
  <mergeCells count="16">
    <mergeCell ref="D20:E20"/>
    <mergeCell ref="D38:E38"/>
    <mergeCell ref="F5:J5"/>
    <mergeCell ref="B7:J7"/>
    <mergeCell ref="N10:O10"/>
    <mergeCell ref="F11:F12"/>
    <mergeCell ref="G11:G12"/>
    <mergeCell ref="H11:H12"/>
    <mergeCell ref="I11:I12"/>
    <mergeCell ref="J11:J12"/>
    <mergeCell ref="D16:E16"/>
    <mergeCell ref="A11:A12"/>
    <mergeCell ref="B11:B12"/>
    <mergeCell ref="C11:C12"/>
    <mergeCell ref="D11:D12"/>
    <mergeCell ref="E11:E12"/>
  </mergeCells>
  <pageMargins left="0.44" right="0.3" top="0.23" bottom="0.2" header="0.24" footer="0.17"/>
  <pageSetup paperSize="9" scale="70" orientation="landscape" horizontalDpi="1200" verticalDpi="1200"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6"/>
  <sheetViews>
    <sheetView view="pageBreakPreview" topLeftCell="A82" zoomScaleNormal="100" zoomScaleSheetLayoutView="100" workbookViewId="0">
      <selection activeCell="G5" sqref="G5:J5"/>
    </sheetView>
  </sheetViews>
  <sheetFormatPr defaultRowHeight="12.75"/>
  <cols>
    <col min="1" max="1" width="12.28515625" customWidth="1"/>
    <col min="2" max="2" width="11.85546875" customWidth="1"/>
    <col min="3" max="3" width="13" customWidth="1"/>
    <col min="4" max="4" width="46.7109375" customWidth="1"/>
    <col min="5" max="5" width="44" customWidth="1"/>
    <col min="6" max="6" width="21.140625" customWidth="1"/>
    <col min="7" max="7" width="15.28515625" customWidth="1"/>
    <col min="8" max="8" width="14" customWidth="1"/>
    <col min="9" max="9" width="12.7109375" customWidth="1"/>
    <col min="10" max="10" width="14.5703125" customWidth="1"/>
    <col min="11" max="11" width="10.5703125" bestFit="1" customWidth="1"/>
    <col min="12" max="12" width="11.42578125" customWidth="1"/>
    <col min="13" max="13" width="10.85546875" bestFit="1" customWidth="1"/>
    <col min="15" max="15" width="11.7109375" customWidth="1"/>
    <col min="16" max="16" width="10.85546875" bestFit="1" customWidth="1"/>
  </cols>
  <sheetData>
    <row r="1" spans="1:17">
      <c r="A1" s="210"/>
      <c r="B1" s="210"/>
      <c r="C1" s="210"/>
      <c r="D1" s="211"/>
      <c r="E1" s="206"/>
      <c r="F1" s="206"/>
      <c r="G1" s="130"/>
      <c r="H1" s="130"/>
      <c r="I1" s="212" t="s">
        <v>658</v>
      </c>
      <c r="J1" s="212"/>
      <c r="K1" s="132"/>
    </row>
    <row r="2" spans="1:17">
      <c r="A2" s="210"/>
      <c r="B2" s="210"/>
      <c r="C2" s="210"/>
      <c r="D2" s="211"/>
      <c r="E2" s="206"/>
      <c r="F2" s="206"/>
      <c r="G2" s="131" t="s">
        <v>614</v>
      </c>
      <c r="H2" s="131"/>
      <c r="I2" s="131"/>
      <c r="J2" s="131"/>
      <c r="K2" s="132"/>
    </row>
    <row r="3" spans="1:17">
      <c r="A3" s="210"/>
      <c r="B3" s="210"/>
      <c r="C3" s="210"/>
      <c r="D3" s="211"/>
      <c r="E3" s="436"/>
      <c r="F3" s="436"/>
      <c r="G3" s="131" t="s">
        <v>706</v>
      </c>
      <c r="H3" s="131"/>
      <c r="I3" s="131"/>
      <c r="J3" s="131"/>
      <c r="K3" s="132"/>
    </row>
    <row r="4" spans="1:17">
      <c r="A4" s="210"/>
      <c r="B4" s="210"/>
      <c r="C4" s="210"/>
      <c r="D4" s="211"/>
      <c r="E4" s="436"/>
      <c r="F4" s="436"/>
      <c r="G4" s="131" t="s">
        <v>707</v>
      </c>
      <c r="H4" s="131"/>
      <c r="I4" s="131"/>
      <c r="J4" s="131"/>
      <c r="K4" s="132"/>
    </row>
    <row r="5" spans="1:17">
      <c r="A5" s="132"/>
      <c r="B5" s="210"/>
      <c r="C5" s="132"/>
      <c r="D5" s="211"/>
      <c r="E5" s="213"/>
      <c r="F5" s="213"/>
      <c r="G5" s="582" t="s">
        <v>756</v>
      </c>
      <c r="H5" s="582"/>
      <c r="I5" s="582"/>
      <c r="J5" s="582"/>
      <c r="K5" s="132"/>
    </row>
    <row r="6" spans="1:17" ht="12.75" customHeight="1">
      <c r="A6" s="132"/>
      <c r="B6" s="214"/>
      <c r="C6" s="132"/>
      <c r="D6" s="215"/>
      <c r="E6" s="214"/>
      <c r="F6" s="214"/>
      <c r="G6" s="131"/>
      <c r="H6" s="131"/>
      <c r="I6" s="131"/>
      <c r="J6" s="131"/>
      <c r="K6" s="132"/>
    </row>
    <row r="7" spans="1:17">
      <c r="A7" s="216"/>
      <c r="B7" s="216"/>
      <c r="C7" s="216"/>
      <c r="D7" s="215"/>
      <c r="E7" s="216"/>
      <c r="F7" s="216"/>
      <c r="G7" s="216"/>
      <c r="H7" s="216"/>
      <c r="I7" s="132"/>
      <c r="J7" s="132"/>
      <c r="K7" s="132"/>
    </row>
    <row r="8" spans="1:17" ht="15.95" customHeight="1">
      <c r="A8" s="585" t="s">
        <v>718</v>
      </c>
      <c r="B8" s="585"/>
      <c r="C8" s="585"/>
      <c r="D8" s="585"/>
      <c r="E8" s="585"/>
      <c r="F8" s="585"/>
      <c r="G8" s="585"/>
      <c r="H8" s="585"/>
      <c r="I8" s="585"/>
      <c r="J8" s="585"/>
      <c r="K8" s="132"/>
    </row>
    <row r="9" spans="1:17" ht="13.5" customHeight="1">
      <c r="A9" s="217"/>
      <c r="B9" s="217"/>
      <c r="C9" s="217"/>
      <c r="D9" s="217"/>
      <c r="E9" s="217"/>
      <c r="F9" s="217"/>
      <c r="G9" s="217"/>
      <c r="H9" s="217"/>
      <c r="I9" s="217"/>
      <c r="J9" s="217"/>
      <c r="K9" s="132"/>
    </row>
    <row r="10" spans="1:17" ht="12.75" customHeight="1">
      <c r="A10" s="218">
        <v>2356400000</v>
      </c>
      <c r="B10" s="219"/>
      <c r="C10" s="217"/>
      <c r="D10" s="217"/>
      <c r="E10" s="217"/>
      <c r="F10" s="217"/>
      <c r="G10" s="217"/>
      <c r="H10" s="217"/>
      <c r="I10" s="217"/>
      <c r="J10" s="217"/>
      <c r="K10" s="132"/>
    </row>
    <row r="11" spans="1:17">
      <c r="A11" s="220" t="s">
        <v>525</v>
      </c>
      <c r="B11" s="221"/>
      <c r="C11" s="132"/>
      <c r="D11" s="132"/>
      <c r="E11" s="132"/>
      <c r="F11" s="132"/>
      <c r="G11" s="132"/>
      <c r="H11" s="132"/>
      <c r="I11" s="132"/>
      <c r="J11" s="222" t="s">
        <v>29</v>
      </c>
      <c r="K11" s="132"/>
    </row>
    <row r="12" spans="1:17" s="16" customFormat="1" ht="39" customHeight="1">
      <c r="A12" s="583" t="s">
        <v>328</v>
      </c>
      <c r="B12" s="583" t="s">
        <v>499</v>
      </c>
      <c r="C12" s="583" t="s">
        <v>468</v>
      </c>
      <c r="D12" s="580" t="s">
        <v>34</v>
      </c>
      <c r="E12" s="580" t="s">
        <v>28</v>
      </c>
      <c r="F12" s="581" t="s">
        <v>512</v>
      </c>
      <c r="G12" s="580" t="s">
        <v>513</v>
      </c>
      <c r="H12" s="581" t="s">
        <v>547</v>
      </c>
      <c r="I12" s="580" t="s">
        <v>548</v>
      </c>
      <c r="J12" s="580"/>
      <c r="K12" s="133"/>
    </row>
    <row r="13" spans="1:17" ht="66" customHeight="1">
      <c r="A13" s="584"/>
      <c r="B13" s="584"/>
      <c r="C13" s="584"/>
      <c r="D13" s="580"/>
      <c r="E13" s="580"/>
      <c r="F13" s="581"/>
      <c r="G13" s="580"/>
      <c r="H13" s="581"/>
      <c r="I13" s="207" t="s">
        <v>513</v>
      </c>
      <c r="J13" s="223" t="s">
        <v>514</v>
      </c>
      <c r="K13" s="132"/>
    </row>
    <row r="14" spans="1:17" ht="12.75" customHeight="1">
      <c r="A14" s="207">
        <v>1</v>
      </c>
      <c r="B14" s="207">
        <v>2</v>
      </c>
      <c r="C14" s="207">
        <v>3</v>
      </c>
      <c r="D14" s="207">
        <v>4</v>
      </c>
      <c r="E14" s="207">
        <v>5</v>
      </c>
      <c r="F14" s="207">
        <v>6</v>
      </c>
      <c r="G14" s="207">
        <v>7</v>
      </c>
      <c r="H14" s="207">
        <v>8</v>
      </c>
      <c r="I14" s="94">
        <v>9</v>
      </c>
      <c r="J14" s="94">
        <v>10</v>
      </c>
      <c r="K14" s="132"/>
      <c r="L14" s="355"/>
      <c r="M14" s="355"/>
      <c r="N14" s="273"/>
      <c r="O14" s="355"/>
      <c r="P14" s="355"/>
      <c r="Q14" s="273"/>
    </row>
    <row r="15" spans="1:17" ht="28.5" customHeight="1">
      <c r="A15" s="179" t="s">
        <v>4</v>
      </c>
      <c r="B15" s="176"/>
      <c r="C15" s="176"/>
      <c r="D15" s="177" t="s">
        <v>410</v>
      </c>
      <c r="E15" s="39"/>
      <c r="F15" s="39"/>
      <c r="G15" s="41">
        <f t="shared" ref="G15:G25" si="0">H15+I15</f>
        <v>103088521</v>
      </c>
      <c r="H15" s="40">
        <f>H16</f>
        <v>73726953</v>
      </c>
      <c r="I15" s="40">
        <f>I16</f>
        <v>29361568</v>
      </c>
      <c r="J15" s="40">
        <f>J16</f>
        <v>28925136</v>
      </c>
      <c r="K15" s="132"/>
      <c r="L15" s="266"/>
      <c r="M15" s="266"/>
      <c r="N15" s="575"/>
      <c r="O15" s="575"/>
      <c r="P15" s="266"/>
      <c r="Q15" s="273"/>
    </row>
    <row r="16" spans="1:17" ht="28.5">
      <c r="A16" s="179" t="s">
        <v>5</v>
      </c>
      <c r="B16" s="175"/>
      <c r="C16" s="175"/>
      <c r="D16" s="123" t="s">
        <v>410</v>
      </c>
      <c r="E16" s="277"/>
      <c r="F16" s="40"/>
      <c r="G16" s="41">
        <f t="shared" si="0"/>
        <v>103088521</v>
      </c>
      <c r="H16" s="40">
        <f>SUM(H17:H77)</f>
        <v>73726953</v>
      </c>
      <c r="I16" s="40">
        <f>SUM(I17:I77)</f>
        <v>29361568</v>
      </c>
      <c r="J16" s="40">
        <f>SUM(J17:J77)</f>
        <v>28925136</v>
      </c>
      <c r="K16" s="132"/>
      <c r="L16" s="355"/>
      <c r="M16" s="273"/>
      <c r="N16" s="273"/>
      <c r="O16" s="273"/>
      <c r="P16" s="273"/>
      <c r="Q16" s="273"/>
    </row>
    <row r="17" spans="1:12" ht="102" customHeight="1">
      <c r="A17" s="239" t="s">
        <v>6</v>
      </c>
      <c r="B17" s="239" t="s">
        <v>461</v>
      </c>
      <c r="C17" s="239" t="s">
        <v>37</v>
      </c>
      <c r="D17" s="270" t="s">
        <v>527</v>
      </c>
      <c r="E17" s="278" t="s">
        <v>659</v>
      </c>
      <c r="F17" s="275" t="s">
        <v>660</v>
      </c>
      <c r="G17" s="39">
        <f t="shared" si="0"/>
        <v>18340880</v>
      </c>
      <c r="H17" s="37">
        <f>'Додаток 3'!E25</f>
        <v>15360880</v>
      </c>
      <c r="I17" s="37">
        <f>'Додаток 3'!J25</f>
        <v>2980000</v>
      </c>
      <c r="J17" s="180">
        <f>'Додаток 3'!K25</f>
        <v>2980000</v>
      </c>
      <c r="K17" s="132"/>
      <c r="L17" s="18"/>
    </row>
    <row r="18" spans="1:12" ht="92.25" customHeight="1">
      <c r="A18" s="240" t="s">
        <v>7</v>
      </c>
      <c r="B18" s="240" t="s">
        <v>471</v>
      </c>
      <c r="C18" s="240" t="s">
        <v>92</v>
      </c>
      <c r="D18" s="198" t="s">
        <v>97</v>
      </c>
      <c r="E18" s="278" t="s">
        <v>573</v>
      </c>
      <c r="F18" s="275" t="s">
        <v>70</v>
      </c>
      <c r="G18" s="39">
        <f t="shared" si="0"/>
        <v>5660685.4000000004</v>
      </c>
      <c r="H18" s="37">
        <f>'Додаток 3'!E33-H19</f>
        <v>5660685.4000000004</v>
      </c>
      <c r="I18" s="37"/>
      <c r="J18" s="180"/>
      <c r="K18" s="132"/>
      <c r="L18" s="18"/>
    </row>
    <row r="19" spans="1:12" ht="60" customHeight="1">
      <c r="A19" s="240" t="s">
        <v>7</v>
      </c>
      <c r="B19" s="240" t="s">
        <v>471</v>
      </c>
      <c r="C19" s="240" t="s">
        <v>92</v>
      </c>
      <c r="D19" s="198" t="s">
        <v>97</v>
      </c>
      <c r="E19" s="278" t="s">
        <v>78</v>
      </c>
      <c r="F19" s="275" t="s">
        <v>79</v>
      </c>
      <c r="G19" s="39">
        <f t="shared" si="0"/>
        <v>10080</v>
      </c>
      <c r="H19" s="37">
        <v>10080</v>
      </c>
      <c r="I19" s="37"/>
      <c r="J19" s="180"/>
      <c r="K19" s="132"/>
      <c r="L19" s="18"/>
    </row>
    <row r="20" spans="1:12" ht="45.75" customHeight="1">
      <c r="A20" s="240" t="s">
        <v>9</v>
      </c>
      <c r="B20" s="240" t="s">
        <v>474</v>
      </c>
      <c r="C20" s="240" t="s">
        <v>38</v>
      </c>
      <c r="D20" s="198" t="s">
        <v>108</v>
      </c>
      <c r="E20" s="278" t="s">
        <v>74</v>
      </c>
      <c r="F20" s="275" t="s">
        <v>75</v>
      </c>
      <c r="G20" s="39">
        <f t="shared" si="0"/>
        <v>643320</v>
      </c>
      <c r="H20" s="37">
        <v>643320</v>
      </c>
      <c r="I20" s="37"/>
      <c r="J20" s="180"/>
      <c r="K20" s="132"/>
      <c r="L20" s="18"/>
    </row>
    <row r="21" spans="1:12" ht="63" customHeight="1">
      <c r="A21" s="240" t="s">
        <v>9</v>
      </c>
      <c r="B21" s="240" t="s">
        <v>474</v>
      </c>
      <c r="C21" s="240" t="s">
        <v>38</v>
      </c>
      <c r="D21" s="198" t="s">
        <v>108</v>
      </c>
      <c r="E21" s="278" t="s">
        <v>73</v>
      </c>
      <c r="F21" s="275" t="s">
        <v>69</v>
      </c>
      <c r="G21" s="39">
        <f t="shared" si="0"/>
        <v>805000</v>
      </c>
      <c r="H21" s="37">
        <f>760000+45000</f>
        <v>805000</v>
      </c>
      <c r="I21" s="37"/>
      <c r="J21" s="180"/>
      <c r="K21" s="132"/>
      <c r="L21" s="18"/>
    </row>
    <row r="22" spans="1:12" ht="48.75" customHeight="1">
      <c r="A22" s="240" t="s">
        <v>130</v>
      </c>
      <c r="B22" s="240" t="s">
        <v>131</v>
      </c>
      <c r="C22" s="240" t="s">
        <v>38</v>
      </c>
      <c r="D22" s="198" t="s">
        <v>132</v>
      </c>
      <c r="E22" s="278" t="s">
        <v>72</v>
      </c>
      <c r="F22" s="275" t="s">
        <v>71</v>
      </c>
      <c r="G22" s="39">
        <f t="shared" si="0"/>
        <v>37546.600000000006</v>
      </c>
      <c r="H22" s="37">
        <f>'Додаток 3'!E36</f>
        <v>37546.600000000006</v>
      </c>
      <c r="I22" s="37"/>
      <c r="J22" s="180"/>
      <c r="K22" s="132"/>
      <c r="L22" s="18"/>
    </row>
    <row r="23" spans="1:12" ht="38.25" customHeight="1">
      <c r="A23" s="239" t="s">
        <v>565</v>
      </c>
      <c r="B23" s="239" t="s">
        <v>566</v>
      </c>
      <c r="C23" s="239" t="s">
        <v>51</v>
      </c>
      <c r="D23" s="271" t="s">
        <v>567</v>
      </c>
      <c r="E23" s="127" t="s">
        <v>574</v>
      </c>
      <c r="F23" s="275" t="s">
        <v>601</v>
      </c>
      <c r="G23" s="39">
        <f t="shared" si="0"/>
        <v>182000</v>
      </c>
      <c r="H23" s="37">
        <f>'Додаток 3'!E49</f>
        <v>182000</v>
      </c>
      <c r="I23" s="37"/>
      <c r="J23" s="180"/>
      <c r="K23" s="132"/>
      <c r="L23" s="18"/>
    </row>
    <row r="24" spans="1:12" ht="61.5" hidden="1" customHeight="1">
      <c r="A24" s="239" t="s">
        <v>416</v>
      </c>
      <c r="B24" s="239" t="s">
        <v>517</v>
      </c>
      <c r="C24" s="239" t="s">
        <v>54</v>
      </c>
      <c r="D24" s="271" t="s">
        <v>533</v>
      </c>
      <c r="E24" s="127" t="s">
        <v>1</v>
      </c>
      <c r="F24" s="275" t="s">
        <v>2</v>
      </c>
      <c r="G24" s="39">
        <f t="shared" si="0"/>
        <v>0</v>
      </c>
      <c r="H24" s="37"/>
      <c r="I24" s="37"/>
      <c r="J24" s="180"/>
      <c r="K24" s="132"/>
      <c r="L24" s="18"/>
    </row>
    <row r="25" spans="1:12" ht="45">
      <c r="A25" s="239" t="s">
        <v>10</v>
      </c>
      <c r="B25" s="239" t="s">
        <v>463</v>
      </c>
      <c r="C25" s="239" t="s">
        <v>39</v>
      </c>
      <c r="D25" s="279" t="s">
        <v>462</v>
      </c>
      <c r="E25" s="278" t="s">
        <v>178</v>
      </c>
      <c r="F25" s="275" t="s">
        <v>154</v>
      </c>
      <c r="G25" s="39">
        <f t="shared" si="0"/>
        <v>41000</v>
      </c>
      <c r="H25" s="37">
        <f>'Додаток 3'!E58</f>
        <v>41000</v>
      </c>
      <c r="I25" s="40"/>
      <c r="J25" s="180"/>
      <c r="K25" s="132"/>
      <c r="L25" s="18"/>
    </row>
    <row r="26" spans="1:12" ht="45">
      <c r="A26" s="239" t="s">
        <v>12</v>
      </c>
      <c r="B26" s="239" t="s">
        <v>464</v>
      </c>
      <c r="C26" s="239" t="s">
        <v>39</v>
      </c>
      <c r="D26" s="198" t="s">
        <v>457</v>
      </c>
      <c r="E26" s="127" t="s">
        <v>98</v>
      </c>
      <c r="F26" s="275" t="s">
        <v>602</v>
      </c>
      <c r="G26" s="39">
        <f t="shared" ref="G26:G57" si="1">H26+I26</f>
        <v>21000</v>
      </c>
      <c r="H26" s="37">
        <v>21000</v>
      </c>
      <c r="I26" s="38"/>
      <c r="J26" s="180"/>
      <c r="K26" s="132"/>
      <c r="L26" s="18"/>
    </row>
    <row r="27" spans="1:12" ht="45.2" customHeight="1">
      <c r="A27" s="239" t="s">
        <v>12</v>
      </c>
      <c r="B27" s="239" t="s">
        <v>464</v>
      </c>
      <c r="C27" s="239" t="s">
        <v>39</v>
      </c>
      <c r="D27" s="198" t="s">
        <v>457</v>
      </c>
      <c r="E27" s="127" t="s">
        <v>348</v>
      </c>
      <c r="F27" s="275" t="s">
        <v>603</v>
      </c>
      <c r="G27" s="39">
        <f t="shared" si="1"/>
        <v>6000</v>
      </c>
      <c r="H27" s="37">
        <v>6000</v>
      </c>
      <c r="I27" s="38"/>
      <c r="J27" s="180"/>
      <c r="K27" s="132"/>
      <c r="L27" s="18"/>
    </row>
    <row r="28" spans="1:12" ht="72" customHeight="1">
      <c r="A28" s="239" t="s">
        <v>568</v>
      </c>
      <c r="B28" s="239" t="s">
        <v>569</v>
      </c>
      <c r="C28" s="239" t="s">
        <v>53</v>
      </c>
      <c r="D28" s="198" t="s">
        <v>570</v>
      </c>
      <c r="E28" s="127" t="s">
        <v>574</v>
      </c>
      <c r="F28" s="275" t="s">
        <v>601</v>
      </c>
      <c r="G28" s="39">
        <f t="shared" si="1"/>
        <v>150004</v>
      </c>
      <c r="H28" s="37">
        <f>'Додаток 3'!E61</f>
        <v>150004</v>
      </c>
      <c r="I28" s="38"/>
      <c r="J28" s="180"/>
      <c r="K28" s="132"/>
      <c r="L28" s="18"/>
    </row>
    <row r="29" spans="1:12" ht="45">
      <c r="A29" s="239" t="s">
        <v>419</v>
      </c>
      <c r="B29" s="239" t="s">
        <v>479</v>
      </c>
      <c r="C29" s="239" t="s">
        <v>49</v>
      </c>
      <c r="D29" s="270" t="s">
        <v>594</v>
      </c>
      <c r="E29" s="127" t="s">
        <v>574</v>
      </c>
      <c r="F29" s="275" t="s">
        <v>601</v>
      </c>
      <c r="G29" s="39">
        <f t="shared" si="1"/>
        <v>114000</v>
      </c>
      <c r="H29" s="37">
        <f>'Додаток 3'!E64</f>
        <v>114000</v>
      </c>
      <c r="I29" s="38"/>
      <c r="J29" s="180"/>
      <c r="K29" s="132"/>
      <c r="L29" s="18"/>
    </row>
    <row r="30" spans="1:12" ht="45" hidden="1">
      <c r="A30" s="241" t="s">
        <v>166</v>
      </c>
      <c r="B30" s="241" t="s">
        <v>167</v>
      </c>
      <c r="C30" s="241" t="s">
        <v>50</v>
      </c>
      <c r="D30" s="271" t="s">
        <v>168</v>
      </c>
      <c r="E30" s="127" t="s">
        <v>574</v>
      </c>
      <c r="F30" s="275" t="s">
        <v>575</v>
      </c>
      <c r="G30" s="39">
        <f t="shared" si="1"/>
        <v>0</v>
      </c>
      <c r="H30" s="37"/>
      <c r="I30" s="38"/>
      <c r="J30" s="180"/>
      <c r="K30" s="132"/>
      <c r="L30" s="18"/>
    </row>
    <row r="31" spans="1:12" ht="60">
      <c r="A31" s="241" t="s">
        <v>166</v>
      </c>
      <c r="B31" s="241" t="s">
        <v>167</v>
      </c>
      <c r="C31" s="241" t="s">
        <v>50</v>
      </c>
      <c r="D31" s="271" t="s">
        <v>168</v>
      </c>
      <c r="E31" s="127" t="s">
        <v>1</v>
      </c>
      <c r="F31" s="275" t="s">
        <v>2</v>
      </c>
      <c r="G31" s="39">
        <f t="shared" si="1"/>
        <v>432094</v>
      </c>
      <c r="H31" s="37">
        <f>'Додаток 3'!E65</f>
        <v>432094</v>
      </c>
      <c r="I31" s="38"/>
      <c r="J31" s="180"/>
      <c r="K31" s="132"/>
      <c r="L31" s="18"/>
    </row>
    <row r="32" spans="1:12" ht="45">
      <c r="A32" s="241" t="s">
        <v>420</v>
      </c>
      <c r="B32" s="241" t="s">
        <v>480</v>
      </c>
      <c r="C32" s="241" t="s">
        <v>52</v>
      </c>
      <c r="D32" s="272" t="s">
        <v>537</v>
      </c>
      <c r="E32" s="127" t="s">
        <v>350</v>
      </c>
      <c r="F32" s="275" t="s">
        <v>610</v>
      </c>
      <c r="G32" s="39">
        <f t="shared" si="1"/>
        <v>130000</v>
      </c>
      <c r="H32" s="37">
        <v>130000</v>
      </c>
      <c r="I32" s="38"/>
      <c r="J32" s="180"/>
      <c r="K32" s="132"/>
      <c r="L32" s="18"/>
    </row>
    <row r="33" spans="1:12" ht="42.75" customHeight="1">
      <c r="A33" s="241" t="s">
        <v>420</v>
      </c>
      <c r="B33" s="241" t="s">
        <v>480</v>
      </c>
      <c r="C33" s="241" t="s">
        <v>52</v>
      </c>
      <c r="D33" s="272" t="s">
        <v>537</v>
      </c>
      <c r="E33" s="127" t="s">
        <v>574</v>
      </c>
      <c r="F33" s="275" t="s">
        <v>601</v>
      </c>
      <c r="G33" s="39">
        <f t="shared" si="1"/>
        <v>2340000</v>
      </c>
      <c r="H33" s="37">
        <f>'Додаток 3'!E66-H32-H34</f>
        <v>2340000</v>
      </c>
      <c r="I33" s="38"/>
      <c r="J33" s="180"/>
      <c r="K33" s="132"/>
      <c r="L33" s="18"/>
    </row>
    <row r="34" spans="1:12" ht="75.75" customHeight="1">
      <c r="A34" s="241" t="s">
        <v>420</v>
      </c>
      <c r="B34" s="241" t="s">
        <v>480</v>
      </c>
      <c r="C34" s="241" t="s">
        <v>52</v>
      </c>
      <c r="D34" s="272" t="s">
        <v>537</v>
      </c>
      <c r="E34" s="127" t="s">
        <v>733</v>
      </c>
      <c r="F34" s="275" t="s">
        <v>739</v>
      </c>
      <c r="G34" s="39">
        <f t="shared" si="1"/>
        <v>399000</v>
      </c>
      <c r="H34" s="37">
        <f>350000+49000</f>
        <v>399000</v>
      </c>
      <c r="I34" s="38"/>
      <c r="J34" s="180"/>
      <c r="K34" s="132"/>
      <c r="L34" s="18"/>
    </row>
    <row r="35" spans="1:12" ht="45">
      <c r="A35" s="239" t="s">
        <v>173</v>
      </c>
      <c r="B35" s="239" t="s">
        <v>484</v>
      </c>
      <c r="C35" s="239" t="s">
        <v>47</v>
      </c>
      <c r="D35" s="279" t="s">
        <v>542</v>
      </c>
      <c r="E35" s="278" t="s">
        <v>105</v>
      </c>
      <c r="F35" s="275" t="s">
        <v>604</v>
      </c>
      <c r="G35" s="39">
        <f t="shared" si="1"/>
        <v>39900</v>
      </c>
      <c r="H35" s="37">
        <f>'Додаток 3'!E68</f>
        <v>39900</v>
      </c>
      <c r="I35" s="38"/>
      <c r="J35" s="180"/>
      <c r="K35" s="132"/>
      <c r="L35" s="18"/>
    </row>
    <row r="36" spans="1:12" ht="30">
      <c r="A36" s="239" t="s">
        <v>430</v>
      </c>
      <c r="B36" s="239" t="s">
        <v>431</v>
      </c>
      <c r="C36" s="239" t="s">
        <v>432</v>
      </c>
      <c r="D36" s="279" t="s">
        <v>433</v>
      </c>
      <c r="E36" s="278" t="s">
        <v>148</v>
      </c>
      <c r="F36" s="275" t="s">
        <v>149</v>
      </c>
      <c r="G36" s="39">
        <f t="shared" si="1"/>
        <v>352471</v>
      </c>
      <c r="H36" s="37">
        <f>'Додаток 3'!E69</f>
        <v>352471</v>
      </c>
      <c r="I36" s="38"/>
      <c r="J36" s="180"/>
      <c r="K36" s="132"/>
      <c r="L36" s="18"/>
    </row>
    <row r="37" spans="1:12" ht="45">
      <c r="A37" s="239" t="s">
        <v>443</v>
      </c>
      <c r="B37" s="239" t="s">
        <v>427</v>
      </c>
      <c r="C37" s="239" t="s">
        <v>450</v>
      </c>
      <c r="D37" s="198" t="s">
        <v>428</v>
      </c>
      <c r="E37" s="127" t="s">
        <v>576</v>
      </c>
      <c r="F37" s="275" t="s">
        <v>577</v>
      </c>
      <c r="G37" s="39">
        <f t="shared" si="1"/>
        <v>3740654</v>
      </c>
      <c r="H37" s="37">
        <f>'Додаток 3'!E70-H38</f>
        <v>3090654</v>
      </c>
      <c r="I37" s="38">
        <v>650000</v>
      </c>
      <c r="J37" s="180">
        <v>650000</v>
      </c>
      <c r="K37" s="132"/>
      <c r="L37" s="18"/>
    </row>
    <row r="38" spans="1:12" ht="48" customHeight="1">
      <c r="A38" s="239" t="s">
        <v>443</v>
      </c>
      <c r="B38" s="239" t="s">
        <v>427</v>
      </c>
      <c r="C38" s="239" t="s">
        <v>450</v>
      </c>
      <c r="D38" s="198" t="s">
        <v>428</v>
      </c>
      <c r="E38" s="127" t="s">
        <v>661</v>
      </c>
      <c r="F38" s="275" t="s">
        <v>662</v>
      </c>
      <c r="G38" s="39">
        <f t="shared" si="1"/>
        <v>3684625</v>
      </c>
      <c r="H38" s="37"/>
      <c r="I38" s="38">
        <f>'Додаток 3'!J70-I37</f>
        <v>3684625</v>
      </c>
      <c r="J38" s="180">
        <f>'Додаток 3'!K70-J37</f>
        <v>3684625</v>
      </c>
      <c r="K38" s="132"/>
      <c r="L38" s="18"/>
    </row>
    <row r="39" spans="1:12" ht="60">
      <c r="A39" s="239" t="s">
        <v>444</v>
      </c>
      <c r="B39" s="239" t="s">
        <v>429</v>
      </c>
      <c r="C39" s="239" t="s">
        <v>450</v>
      </c>
      <c r="D39" s="198" t="s">
        <v>434</v>
      </c>
      <c r="E39" s="127" t="s">
        <v>576</v>
      </c>
      <c r="F39" s="275" t="s">
        <v>577</v>
      </c>
      <c r="G39" s="39">
        <f t="shared" si="1"/>
        <v>3008381.55</v>
      </c>
      <c r="H39" s="37">
        <f>'Додаток 3'!E71-H40</f>
        <v>2505836.5499999998</v>
      </c>
      <c r="I39" s="38">
        <f>'Додаток 3'!J71-I40</f>
        <v>502545</v>
      </c>
      <c r="J39" s="180">
        <f>'Додаток 3'!K71-J40</f>
        <v>502545</v>
      </c>
      <c r="K39" s="132"/>
      <c r="L39" s="18"/>
    </row>
    <row r="40" spans="1:12" ht="60">
      <c r="A40" s="239" t="s">
        <v>444</v>
      </c>
      <c r="B40" s="239" t="s">
        <v>429</v>
      </c>
      <c r="C40" s="239" t="s">
        <v>450</v>
      </c>
      <c r="D40" s="198" t="s">
        <v>434</v>
      </c>
      <c r="E40" s="127" t="s">
        <v>81</v>
      </c>
      <c r="F40" s="275" t="s">
        <v>82</v>
      </c>
      <c r="G40" s="39">
        <f t="shared" si="1"/>
        <v>167700</v>
      </c>
      <c r="H40" s="37">
        <v>167700</v>
      </c>
      <c r="I40" s="38"/>
      <c r="J40" s="180"/>
      <c r="K40" s="132"/>
      <c r="L40" s="18"/>
    </row>
    <row r="41" spans="1:12" ht="60.75" customHeight="1">
      <c r="A41" s="239" t="s">
        <v>445</v>
      </c>
      <c r="B41" s="239" t="s">
        <v>435</v>
      </c>
      <c r="C41" s="239" t="s">
        <v>450</v>
      </c>
      <c r="D41" s="124" t="s">
        <v>436</v>
      </c>
      <c r="E41" s="127" t="s">
        <v>321</v>
      </c>
      <c r="F41" s="275" t="s">
        <v>155</v>
      </c>
      <c r="G41" s="39">
        <f t="shared" si="1"/>
        <v>76000</v>
      </c>
      <c r="H41" s="37">
        <f>49000+27000</f>
        <v>76000</v>
      </c>
      <c r="I41" s="38"/>
      <c r="J41" s="180"/>
      <c r="K41" s="132"/>
      <c r="L41" s="18"/>
    </row>
    <row r="42" spans="1:12" ht="32.25" customHeight="1">
      <c r="A42" s="239" t="s">
        <v>445</v>
      </c>
      <c r="B42" s="239" t="s">
        <v>435</v>
      </c>
      <c r="C42" s="239" t="s">
        <v>450</v>
      </c>
      <c r="D42" s="124" t="s">
        <v>436</v>
      </c>
      <c r="E42" s="127" t="s">
        <v>81</v>
      </c>
      <c r="F42" s="275" t="s">
        <v>82</v>
      </c>
      <c r="G42" s="39">
        <f t="shared" si="1"/>
        <v>26740077.449999999</v>
      </c>
      <c r="H42" s="37">
        <f>'Додаток 3'!E72-H41-H43-H44-H45</f>
        <v>22053077.449999999</v>
      </c>
      <c r="I42" s="37">
        <f>'Додаток 3'!J72-I45</f>
        <v>4687000</v>
      </c>
      <c r="J42" s="37">
        <f>'Додаток 3'!K72-J45</f>
        <v>4687000</v>
      </c>
      <c r="K42" s="132"/>
      <c r="L42" s="18"/>
    </row>
    <row r="43" spans="1:12" ht="42.75" customHeight="1">
      <c r="A43" s="239" t="s">
        <v>445</v>
      </c>
      <c r="B43" s="239" t="s">
        <v>435</v>
      </c>
      <c r="C43" s="239" t="s">
        <v>450</v>
      </c>
      <c r="D43" s="124" t="s">
        <v>436</v>
      </c>
      <c r="E43" s="127" t="s">
        <v>612</v>
      </c>
      <c r="F43" s="275" t="s">
        <v>611</v>
      </c>
      <c r="G43" s="39">
        <f t="shared" si="1"/>
        <v>111000</v>
      </c>
      <c r="H43" s="37">
        <f>50000+61000</f>
        <v>111000</v>
      </c>
      <c r="I43" s="38"/>
      <c r="J43" s="180"/>
      <c r="K43" s="132"/>
      <c r="L43" s="18"/>
    </row>
    <row r="44" spans="1:12" ht="42.75" customHeight="1">
      <c r="A44" s="239" t="s">
        <v>445</v>
      </c>
      <c r="B44" s="239" t="s">
        <v>435</v>
      </c>
      <c r="C44" s="239" t="s">
        <v>450</v>
      </c>
      <c r="D44" s="124" t="s">
        <v>436</v>
      </c>
      <c r="E44" s="127" t="s">
        <v>576</v>
      </c>
      <c r="F44" s="275" t="s">
        <v>577</v>
      </c>
      <c r="G44" s="39">
        <f t="shared" si="1"/>
        <v>1290000</v>
      </c>
      <c r="H44" s="37">
        <f>1100000+190000</f>
        <v>1290000</v>
      </c>
      <c r="I44" s="38"/>
      <c r="J44" s="180"/>
      <c r="K44" s="132"/>
      <c r="L44" s="18"/>
    </row>
    <row r="45" spans="1:12" ht="42.75" customHeight="1">
      <c r="A45" s="239" t="s">
        <v>445</v>
      </c>
      <c r="B45" s="239" t="s">
        <v>435</v>
      </c>
      <c r="C45" s="239" t="s">
        <v>450</v>
      </c>
      <c r="D45" s="124" t="s">
        <v>436</v>
      </c>
      <c r="E45" s="127" t="s">
        <v>103</v>
      </c>
      <c r="F45" s="275" t="s">
        <v>606</v>
      </c>
      <c r="G45" s="39">
        <f t="shared" si="1"/>
        <v>70892</v>
      </c>
      <c r="H45" s="37"/>
      <c r="I45" s="38">
        <v>70892</v>
      </c>
      <c r="J45" s="180">
        <f>I45</f>
        <v>70892</v>
      </c>
      <c r="K45" s="132"/>
      <c r="L45" s="18"/>
    </row>
    <row r="46" spans="1:12" ht="45">
      <c r="A46" s="239" t="s">
        <v>447</v>
      </c>
      <c r="B46" s="239" t="s">
        <v>437</v>
      </c>
      <c r="C46" s="239" t="s">
        <v>450</v>
      </c>
      <c r="D46" s="124" t="s">
        <v>438</v>
      </c>
      <c r="E46" s="127" t="s">
        <v>576</v>
      </c>
      <c r="F46" s="275" t="s">
        <v>577</v>
      </c>
      <c r="G46" s="39">
        <f t="shared" si="1"/>
        <v>360000</v>
      </c>
      <c r="H46" s="37">
        <f>'Додаток 3'!E73</f>
        <v>360000</v>
      </c>
      <c r="I46" s="38"/>
      <c r="J46" s="180"/>
      <c r="K46" s="132"/>
      <c r="L46" s="18"/>
    </row>
    <row r="47" spans="1:12" ht="104.25" customHeight="1">
      <c r="A47" s="239" t="s">
        <v>448</v>
      </c>
      <c r="B47" s="239" t="s">
        <v>439</v>
      </c>
      <c r="C47" s="239" t="s">
        <v>451</v>
      </c>
      <c r="D47" s="198" t="s">
        <v>388</v>
      </c>
      <c r="E47" s="127" t="s">
        <v>576</v>
      </c>
      <c r="F47" s="275" t="s">
        <v>577</v>
      </c>
      <c r="G47" s="39">
        <f t="shared" si="1"/>
        <v>4787120</v>
      </c>
      <c r="H47" s="37">
        <f>'Додаток 3'!E74</f>
        <v>4787120</v>
      </c>
      <c r="I47" s="38"/>
      <c r="J47" s="180"/>
      <c r="K47" s="132"/>
      <c r="L47" s="18"/>
    </row>
    <row r="48" spans="1:12" ht="45">
      <c r="A48" s="239" t="s">
        <v>449</v>
      </c>
      <c r="B48" s="242">
        <v>7130</v>
      </c>
      <c r="C48" s="239" t="s">
        <v>452</v>
      </c>
      <c r="D48" s="198" t="s">
        <v>440</v>
      </c>
      <c r="E48" s="127" t="s">
        <v>352</v>
      </c>
      <c r="F48" s="275" t="s">
        <v>605</v>
      </c>
      <c r="G48" s="39">
        <f t="shared" si="1"/>
        <v>377400</v>
      </c>
      <c r="H48" s="37">
        <f>'Додаток 3'!E75</f>
        <v>227500</v>
      </c>
      <c r="I48" s="37">
        <f>'Додаток 3'!J75-I49</f>
        <v>149900</v>
      </c>
      <c r="J48" s="180"/>
      <c r="K48" s="132"/>
      <c r="L48" s="18"/>
    </row>
    <row r="49" spans="1:13" ht="60">
      <c r="A49" s="239" t="s">
        <v>449</v>
      </c>
      <c r="B49" s="242">
        <v>7130</v>
      </c>
      <c r="C49" s="239" t="s">
        <v>452</v>
      </c>
      <c r="D49" s="198" t="s">
        <v>440</v>
      </c>
      <c r="E49" s="178" t="s">
        <v>675</v>
      </c>
      <c r="F49" s="275" t="s">
        <v>676</v>
      </c>
      <c r="G49" s="39">
        <f t="shared" si="1"/>
        <v>2000000</v>
      </c>
      <c r="H49" s="37"/>
      <c r="I49" s="37">
        <v>2000000</v>
      </c>
      <c r="J49" s="180">
        <v>2000000</v>
      </c>
      <c r="K49" s="132"/>
      <c r="L49" s="18"/>
    </row>
    <row r="50" spans="1:13" ht="45">
      <c r="A50" s="431" t="s">
        <v>689</v>
      </c>
      <c r="B50" s="150">
        <v>7310</v>
      </c>
      <c r="C50" s="431" t="s">
        <v>688</v>
      </c>
      <c r="D50" s="198" t="s">
        <v>690</v>
      </c>
      <c r="E50" s="127" t="s">
        <v>81</v>
      </c>
      <c r="F50" s="275" t="s">
        <v>82</v>
      </c>
      <c r="G50" s="39">
        <f t="shared" si="1"/>
        <v>364688</v>
      </c>
      <c r="H50" s="37"/>
      <c r="I50" s="37">
        <f>'Додаток 3'!J76</f>
        <v>364688</v>
      </c>
      <c r="J50" s="180">
        <f>'Додаток 3'!K76</f>
        <v>364688</v>
      </c>
      <c r="K50" s="132"/>
      <c r="L50" s="18"/>
    </row>
    <row r="51" spans="1:13" ht="106.5" customHeight="1">
      <c r="A51" s="239" t="s">
        <v>686</v>
      </c>
      <c r="B51" s="242">
        <v>7322</v>
      </c>
      <c r="C51" s="239" t="s">
        <v>688</v>
      </c>
      <c r="D51" s="198" t="s">
        <v>685</v>
      </c>
      <c r="E51" s="178" t="s">
        <v>659</v>
      </c>
      <c r="F51" s="275" t="s">
        <v>660</v>
      </c>
      <c r="G51" s="39">
        <f t="shared" si="1"/>
        <v>4500000</v>
      </c>
      <c r="H51" s="37"/>
      <c r="I51" s="37">
        <f>'Додаток 3'!J77</f>
        <v>4500000</v>
      </c>
      <c r="J51" s="180">
        <f>'Додаток 3'!K77</f>
        <v>4500000</v>
      </c>
      <c r="K51" s="132"/>
      <c r="L51" s="18"/>
    </row>
    <row r="52" spans="1:13" ht="30">
      <c r="A52" s="239" t="s">
        <v>399</v>
      </c>
      <c r="B52" s="242">
        <v>7413</v>
      </c>
      <c r="C52" s="239" t="s">
        <v>400</v>
      </c>
      <c r="D52" s="124" t="s">
        <v>401</v>
      </c>
      <c r="E52" s="127" t="s">
        <v>84</v>
      </c>
      <c r="F52" s="275" t="s">
        <v>80</v>
      </c>
      <c r="G52" s="39">
        <f t="shared" si="1"/>
        <v>98000</v>
      </c>
      <c r="H52" s="37">
        <f>'Додаток 3'!E79</f>
        <v>98000</v>
      </c>
      <c r="I52" s="38"/>
      <c r="J52" s="180"/>
      <c r="K52" s="132"/>
      <c r="L52" s="18"/>
    </row>
    <row r="53" spans="1:13" ht="74.25" customHeight="1">
      <c r="A53" s="239" t="s">
        <v>17</v>
      </c>
      <c r="B53" s="239" t="s">
        <v>511</v>
      </c>
      <c r="C53" s="239" t="s">
        <v>16</v>
      </c>
      <c r="D53" s="198" t="s">
        <v>15</v>
      </c>
      <c r="E53" s="127" t="s">
        <v>580</v>
      </c>
      <c r="F53" s="275" t="s">
        <v>83</v>
      </c>
      <c r="G53" s="39">
        <f t="shared" si="1"/>
        <v>10343000</v>
      </c>
      <c r="H53" s="37">
        <f>'Додаток 3'!E80-H54</f>
        <v>8701000</v>
      </c>
      <c r="I53" s="38">
        <f>'Додаток 3'!J80-I54</f>
        <v>1642000</v>
      </c>
      <c r="J53" s="180">
        <f>'Додаток 3'!K80-J54</f>
        <v>1642000</v>
      </c>
      <c r="K53" s="132"/>
      <c r="L53" s="18"/>
    </row>
    <row r="54" spans="1:13" ht="56.25" customHeight="1">
      <c r="A54" s="239" t="s">
        <v>17</v>
      </c>
      <c r="B54" s="239" t="s">
        <v>511</v>
      </c>
      <c r="C54" s="239" t="s">
        <v>16</v>
      </c>
      <c r="D54" s="198" t="s">
        <v>15</v>
      </c>
      <c r="E54" s="127" t="s">
        <v>103</v>
      </c>
      <c r="F54" s="275" t="s">
        <v>606</v>
      </c>
      <c r="G54" s="39">
        <f t="shared" si="1"/>
        <v>270000</v>
      </c>
      <c r="H54" s="37">
        <v>270000</v>
      </c>
      <c r="I54" s="38"/>
      <c r="J54" s="180"/>
      <c r="K54" s="132"/>
      <c r="L54" s="18"/>
    </row>
    <row r="55" spans="1:13" ht="52.5" customHeight="1">
      <c r="A55" s="239" t="s">
        <v>710</v>
      </c>
      <c r="B55" s="239" t="s">
        <v>712</v>
      </c>
      <c r="C55" s="239" t="s">
        <v>717</v>
      </c>
      <c r="D55" s="198" t="s">
        <v>711</v>
      </c>
      <c r="E55" s="127" t="s">
        <v>661</v>
      </c>
      <c r="F55" s="275" t="s">
        <v>662</v>
      </c>
      <c r="G55" s="39">
        <f t="shared" si="1"/>
        <v>3000000</v>
      </c>
      <c r="H55" s="37"/>
      <c r="I55" s="38">
        <f>'Додаток 3'!J81</f>
        <v>3000000</v>
      </c>
      <c r="J55" s="180">
        <f>'Додаток 3'!K81</f>
        <v>3000000</v>
      </c>
      <c r="K55" s="132"/>
      <c r="L55" s="18"/>
    </row>
    <row r="56" spans="1:13" ht="44.25" customHeight="1">
      <c r="A56" s="283" t="s">
        <v>586</v>
      </c>
      <c r="B56" s="283" t="s">
        <v>587</v>
      </c>
      <c r="C56" s="283" t="s">
        <v>526</v>
      </c>
      <c r="D56" s="129" t="s">
        <v>585</v>
      </c>
      <c r="E56" s="127" t="s">
        <v>352</v>
      </c>
      <c r="F56" s="275" t="s">
        <v>605</v>
      </c>
      <c r="G56" s="39">
        <f t="shared" si="1"/>
        <v>260912</v>
      </c>
      <c r="H56" s="37"/>
      <c r="I56" s="38">
        <f>'Додаток 3'!J82</f>
        <v>260912</v>
      </c>
      <c r="J56" s="180">
        <f>'Додаток 3'!K82</f>
        <v>260912</v>
      </c>
      <c r="K56" s="132"/>
      <c r="L56" s="18"/>
      <c r="M56" s="18"/>
    </row>
    <row r="57" spans="1:13" ht="63" customHeight="1">
      <c r="A57" s="239" t="s">
        <v>453</v>
      </c>
      <c r="B57" s="239" t="s">
        <v>441</v>
      </c>
      <c r="C57" s="239" t="s">
        <v>526</v>
      </c>
      <c r="D57" s="198" t="s">
        <v>442</v>
      </c>
      <c r="E57" s="127" t="s">
        <v>731</v>
      </c>
      <c r="F57" s="275" t="s">
        <v>740</v>
      </c>
      <c r="G57" s="39">
        <f t="shared" si="1"/>
        <v>27000</v>
      </c>
      <c r="H57" s="37">
        <f>'Додаток 3'!E83</f>
        <v>27000</v>
      </c>
      <c r="I57" s="38"/>
      <c r="J57" s="180"/>
      <c r="K57" s="132"/>
      <c r="L57" s="18"/>
    </row>
    <row r="58" spans="1:13" ht="49.5" customHeight="1">
      <c r="A58" s="239" t="s">
        <v>455</v>
      </c>
      <c r="B58" s="239" t="s">
        <v>470</v>
      </c>
      <c r="C58" s="239" t="s">
        <v>526</v>
      </c>
      <c r="D58" s="270" t="s">
        <v>599</v>
      </c>
      <c r="E58" s="127" t="s">
        <v>104</v>
      </c>
      <c r="F58" s="275" t="s">
        <v>607</v>
      </c>
      <c r="G58" s="39">
        <f t="shared" ref="G58:G87" si="2">H58+I58</f>
        <v>413523</v>
      </c>
      <c r="H58" s="37">
        <f>'Додаток 3'!E85-H59</f>
        <v>413523</v>
      </c>
      <c r="I58" s="38"/>
      <c r="J58" s="180"/>
      <c r="K58" s="132"/>
      <c r="L58" s="18"/>
    </row>
    <row r="59" spans="1:13" ht="64.5" customHeight="1">
      <c r="A59" s="239" t="s">
        <v>455</v>
      </c>
      <c r="B59" s="239" t="s">
        <v>470</v>
      </c>
      <c r="C59" s="239" t="s">
        <v>526</v>
      </c>
      <c r="D59" s="270" t="s">
        <v>599</v>
      </c>
      <c r="E59" s="127" t="s">
        <v>702</v>
      </c>
      <c r="F59" s="275" t="s">
        <v>699</v>
      </c>
      <c r="G59" s="39">
        <f t="shared" si="2"/>
        <v>99000</v>
      </c>
      <c r="H59" s="37">
        <v>99000</v>
      </c>
      <c r="I59" s="38"/>
      <c r="J59" s="180"/>
      <c r="K59" s="132"/>
      <c r="L59" s="18"/>
    </row>
    <row r="60" spans="1:13" ht="64.5" customHeight="1">
      <c r="A60" s="241" t="s">
        <v>13</v>
      </c>
      <c r="B60" s="241" t="s">
        <v>476</v>
      </c>
      <c r="C60" s="241" t="s">
        <v>41</v>
      </c>
      <c r="D60" s="272" t="s">
        <v>459</v>
      </c>
      <c r="E60" s="127" t="s">
        <v>732</v>
      </c>
      <c r="F60" s="275" t="s">
        <v>738</v>
      </c>
      <c r="G60" s="39">
        <f t="shared" si="2"/>
        <v>635000</v>
      </c>
      <c r="H60" s="37">
        <v>635000</v>
      </c>
      <c r="I60" s="38"/>
      <c r="J60" s="180"/>
      <c r="K60" s="132"/>
      <c r="L60" s="18"/>
    </row>
    <row r="61" spans="1:13" ht="76.5" customHeight="1">
      <c r="A61" s="241" t="s">
        <v>13</v>
      </c>
      <c r="B61" s="241" t="s">
        <v>476</v>
      </c>
      <c r="C61" s="241" t="s">
        <v>41</v>
      </c>
      <c r="D61" s="272" t="s">
        <v>459</v>
      </c>
      <c r="E61" s="127" t="s">
        <v>99</v>
      </c>
      <c r="F61" s="275" t="s">
        <v>100</v>
      </c>
      <c r="G61" s="39">
        <f t="shared" si="2"/>
        <v>215000</v>
      </c>
      <c r="H61" s="37">
        <f>'Додаток 3'!E88-H60</f>
        <v>85000</v>
      </c>
      <c r="I61" s="38">
        <f>'Додаток 3'!J88-I60</f>
        <v>130000</v>
      </c>
      <c r="J61" s="180">
        <f>'Додаток 3'!K88-J60</f>
        <v>130000</v>
      </c>
      <c r="K61" s="132"/>
      <c r="L61" s="18"/>
    </row>
    <row r="62" spans="1:13" ht="49.5" customHeight="1">
      <c r="A62" s="239" t="s">
        <v>14</v>
      </c>
      <c r="B62" s="239" t="s">
        <v>477</v>
      </c>
      <c r="C62" s="239" t="s">
        <v>41</v>
      </c>
      <c r="D62" s="270" t="s">
        <v>460</v>
      </c>
      <c r="E62" s="278" t="s">
        <v>177</v>
      </c>
      <c r="F62" s="275" t="s">
        <v>153</v>
      </c>
      <c r="G62" s="39">
        <f t="shared" si="2"/>
        <v>29063</v>
      </c>
      <c r="H62" s="37">
        <f>'Додаток 3'!E89</f>
        <v>29063</v>
      </c>
      <c r="I62" s="38"/>
      <c r="J62" s="180"/>
      <c r="K62" s="132"/>
      <c r="L62" s="18"/>
    </row>
    <row r="63" spans="1:13" ht="81.75" customHeight="1">
      <c r="A63" s="283" t="s">
        <v>588</v>
      </c>
      <c r="B63" s="283" t="s">
        <v>590</v>
      </c>
      <c r="C63" s="283" t="s">
        <v>591</v>
      </c>
      <c r="D63" s="285" t="s">
        <v>589</v>
      </c>
      <c r="E63" s="127" t="s">
        <v>0</v>
      </c>
      <c r="F63" s="275" t="s">
        <v>584</v>
      </c>
      <c r="G63" s="39">
        <f t="shared" si="2"/>
        <v>1617852</v>
      </c>
      <c r="H63" s="37">
        <f>'Додаток 3'!E90-H64</f>
        <v>906778</v>
      </c>
      <c r="I63" s="37">
        <f>'Додаток 3'!J90-I64</f>
        <v>711074</v>
      </c>
      <c r="J63" s="37">
        <f>'Додаток 3'!K90-J64</f>
        <v>711074</v>
      </c>
      <c r="K63" s="132"/>
      <c r="L63" s="18"/>
    </row>
    <row r="64" spans="1:13" ht="130.5" customHeight="1">
      <c r="A64" s="283" t="s">
        <v>588</v>
      </c>
      <c r="B64" s="283" t="s">
        <v>590</v>
      </c>
      <c r="C64" s="283" t="s">
        <v>591</v>
      </c>
      <c r="D64" s="285" t="s">
        <v>589</v>
      </c>
      <c r="E64" s="127" t="s">
        <v>743</v>
      </c>
      <c r="F64" s="275" t="s">
        <v>701</v>
      </c>
      <c r="G64" s="39">
        <f t="shared" si="2"/>
        <v>327920</v>
      </c>
      <c r="H64" s="37">
        <v>26920</v>
      </c>
      <c r="I64" s="38">
        <v>301000</v>
      </c>
      <c r="J64" s="180">
        <v>301000</v>
      </c>
      <c r="K64" s="132"/>
      <c r="L64" s="18"/>
    </row>
    <row r="65" spans="1:12" ht="48" customHeight="1">
      <c r="A65" s="239" t="s">
        <v>456</v>
      </c>
      <c r="B65" s="239" t="s">
        <v>507</v>
      </c>
      <c r="C65" s="239" t="s">
        <v>508</v>
      </c>
      <c r="D65" s="198" t="s">
        <v>509</v>
      </c>
      <c r="E65" s="278" t="s">
        <v>354</v>
      </c>
      <c r="F65" s="275" t="s">
        <v>608</v>
      </c>
      <c r="G65" s="39">
        <f t="shared" si="2"/>
        <v>270532</v>
      </c>
      <c r="H65" s="37"/>
      <c r="I65" s="37">
        <f>'Додаток 3'!J91</f>
        <v>270532</v>
      </c>
      <c r="J65" s="180"/>
      <c r="K65" s="132"/>
      <c r="L65" s="18"/>
    </row>
    <row r="66" spans="1:12" ht="63.75" customHeight="1">
      <c r="A66" s="239" t="s">
        <v>727</v>
      </c>
      <c r="B66" s="239" t="s">
        <v>728</v>
      </c>
      <c r="C66" s="239" t="s">
        <v>730</v>
      </c>
      <c r="D66" s="198" t="s">
        <v>729</v>
      </c>
      <c r="E66" s="278" t="s">
        <v>354</v>
      </c>
      <c r="F66" s="275" t="s">
        <v>608</v>
      </c>
      <c r="G66" s="39">
        <f>H66+I66</f>
        <v>30000</v>
      </c>
      <c r="H66" s="37">
        <f>'Додаток 3'!E92</f>
        <v>14000</v>
      </c>
      <c r="I66" s="38">
        <f>'Додаток 3'!J92</f>
        <v>16000</v>
      </c>
      <c r="J66" s="180"/>
      <c r="K66" s="132"/>
      <c r="L66" s="18"/>
    </row>
    <row r="67" spans="1:12" ht="63.75" customHeight="1">
      <c r="A67" s="239" t="s">
        <v>402</v>
      </c>
      <c r="B67" s="239" t="s">
        <v>403</v>
      </c>
      <c r="C67" s="239" t="s">
        <v>55</v>
      </c>
      <c r="D67" s="198" t="s">
        <v>404</v>
      </c>
      <c r="E67" s="278" t="s">
        <v>744</v>
      </c>
      <c r="F67" s="275" t="s">
        <v>745</v>
      </c>
      <c r="G67" s="39">
        <f>H67+I67</f>
        <v>110000</v>
      </c>
      <c r="H67" s="37">
        <v>110000</v>
      </c>
      <c r="I67" s="38"/>
      <c r="J67" s="180"/>
      <c r="K67" s="132"/>
      <c r="L67" s="18"/>
    </row>
    <row r="68" spans="1:12" ht="86.25" customHeight="1">
      <c r="A68" s="239" t="s">
        <v>402</v>
      </c>
      <c r="B68" s="239" t="s">
        <v>403</v>
      </c>
      <c r="C68" s="239" t="s">
        <v>55</v>
      </c>
      <c r="D68" s="198" t="s">
        <v>404</v>
      </c>
      <c r="E68" s="322" t="s">
        <v>741</v>
      </c>
      <c r="F68" s="464" t="s">
        <v>742</v>
      </c>
      <c r="G68" s="465">
        <f t="shared" si="2"/>
        <v>270000</v>
      </c>
      <c r="H68" s="466">
        <v>270000</v>
      </c>
      <c r="I68" s="467"/>
      <c r="J68" s="468"/>
      <c r="K68" s="132"/>
      <c r="L68" s="18"/>
    </row>
    <row r="69" spans="1:12" ht="59.25" customHeight="1">
      <c r="A69" s="239" t="s">
        <v>402</v>
      </c>
      <c r="B69" s="239" t="s">
        <v>403</v>
      </c>
      <c r="C69" s="239" t="s">
        <v>55</v>
      </c>
      <c r="D69" s="198" t="s">
        <v>404</v>
      </c>
      <c r="E69" s="198" t="s">
        <v>750</v>
      </c>
      <c r="F69" s="275" t="s">
        <v>749</v>
      </c>
      <c r="G69" s="39">
        <f t="shared" si="2"/>
        <v>620000</v>
      </c>
      <c r="H69" s="37"/>
      <c r="I69" s="38">
        <f>420000+200000</f>
        <v>620000</v>
      </c>
      <c r="J69" s="180">
        <f>420000+200000</f>
        <v>620000</v>
      </c>
      <c r="K69" s="132"/>
      <c r="L69" s="18"/>
    </row>
    <row r="70" spans="1:12" ht="78" customHeight="1">
      <c r="A70" s="239" t="s">
        <v>402</v>
      </c>
      <c r="B70" s="239" t="s">
        <v>403</v>
      </c>
      <c r="C70" s="239" t="s">
        <v>55</v>
      </c>
      <c r="D70" s="198" t="s">
        <v>404</v>
      </c>
      <c r="E70" s="198" t="s">
        <v>682</v>
      </c>
      <c r="F70" s="275" t="s">
        <v>183</v>
      </c>
      <c r="G70" s="39">
        <f t="shared" si="2"/>
        <v>10000</v>
      </c>
      <c r="H70" s="37">
        <v>10000</v>
      </c>
      <c r="I70" s="38"/>
      <c r="J70" s="180"/>
      <c r="K70" s="132"/>
      <c r="L70" s="18"/>
    </row>
    <row r="71" spans="1:12" ht="76.5" customHeight="1">
      <c r="A71" s="239" t="s">
        <v>402</v>
      </c>
      <c r="B71" s="239" t="s">
        <v>403</v>
      </c>
      <c r="C71" s="239" t="s">
        <v>55</v>
      </c>
      <c r="D71" s="198" t="s">
        <v>404</v>
      </c>
      <c r="E71" s="198" t="s">
        <v>583</v>
      </c>
      <c r="F71" s="275" t="s">
        <v>584</v>
      </c>
      <c r="G71" s="39">
        <f t="shared" si="2"/>
        <v>2420400</v>
      </c>
      <c r="H71" s="37"/>
      <c r="I71" s="38">
        <v>2420400</v>
      </c>
      <c r="J71" s="180">
        <v>2420400</v>
      </c>
      <c r="K71" s="132"/>
      <c r="L71" s="18"/>
    </row>
    <row r="72" spans="1:12" ht="51" customHeight="1">
      <c r="A72" s="239" t="s">
        <v>402</v>
      </c>
      <c r="B72" s="239" t="s">
        <v>403</v>
      </c>
      <c r="C72" s="239" t="s">
        <v>55</v>
      </c>
      <c r="D72" s="198" t="s">
        <v>404</v>
      </c>
      <c r="E72" s="198" t="s">
        <v>736</v>
      </c>
      <c r="F72" s="275" t="s">
        <v>571</v>
      </c>
      <c r="G72" s="39">
        <f t="shared" si="2"/>
        <v>40000</v>
      </c>
      <c r="H72" s="37">
        <v>40000</v>
      </c>
      <c r="I72" s="38"/>
      <c r="J72" s="180"/>
      <c r="K72" s="132"/>
      <c r="L72" s="18"/>
    </row>
    <row r="73" spans="1:12" ht="77.25" customHeight="1">
      <c r="A73" s="239" t="s">
        <v>402</v>
      </c>
      <c r="B73" s="239" t="s">
        <v>403</v>
      </c>
      <c r="C73" s="239" t="s">
        <v>55</v>
      </c>
      <c r="D73" s="198" t="s">
        <v>404</v>
      </c>
      <c r="E73" s="198" t="s">
        <v>735</v>
      </c>
      <c r="F73" s="275" t="s">
        <v>737</v>
      </c>
      <c r="G73" s="39">
        <f t="shared" si="2"/>
        <v>400000</v>
      </c>
      <c r="H73" s="37"/>
      <c r="I73" s="38">
        <v>400000</v>
      </c>
      <c r="J73" s="180">
        <v>400000</v>
      </c>
      <c r="K73" s="132"/>
      <c r="L73" s="18"/>
    </row>
    <row r="74" spans="1:12" ht="77.25" customHeight="1">
      <c r="A74" s="239" t="s">
        <v>402</v>
      </c>
      <c r="B74" s="239" t="s">
        <v>403</v>
      </c>
      <c r="C74" s="239" t="s">
        <v>55</v>
      </c>
      <c r="D74" s="198" t="s">
        <v>334</v>
      </c>
      <c r="E74" s="427" t="s">
        <v>673</v>
      </c>
      <c r="F74" s="39" t="s">
        <v>674</v>
      </c>
      <c r="G74" s="39">
        <f t="shared" si="2"/>
        <v>150000</v>
      </c>
      <c r="H74" s="37">
        <v>150000</v>
      </c>
      <c r="I74" s="37"/>
      <c r="J74" s="180"/>
      <c r="K74" s="132"/>
      <c r="L74" s="18"/>
    </row>
    <row r="75" spans="1:12" ht="60.75" customHeight="1">
      <c r="A75" s="239" t="s">
        <v>402</v>
      </c>
      <c r="B75" s="239" t="s">
        <v>403</v>
      </c>
      <c r="C75" s="239" t="s">
        <v>55</v>
      </c>
      <c r="D75" s="198" t="s">
        <v>404</v>
      </c>
      <c r="E75" s="39" t="s">
        <v>734</v>
      </c>
      <c r="F75" s="39" t="s">
        <v>169</v>
      </c>
      <c r="G75" s="39">
        <f t="shared" si="2"/>
        <v>400000</v>
      </c>
      <c r="H75" s="37">
        <v>400000</v>
      </c>
      <c r="I75" s="38"/>
      <c r="J75" s="180"/>
      <c r="K75" s="132"/>
      <c r="L75" s="18"/>
    </row>
    <row r="76" spans="1:12" ht="75.75" customHeight="1">
      <c r="A76" s="239" t="s">
        <v>402</v>
      </c>
      <c r="B76" s="239" t="s">
        <v>403</v>
      </c>
      <c r="C76" s="239" t="s">
        <v>55</v>
      </c>
      <c r="D76" s="198" t="s">
        <v>404</v>
      </c>
      <c r="E76" s="39" t="s">
        <v>679</v>
      </c>
      <c r="F76" s="39" t="s">
        <v>680</v>
      </c>
      <c r="G76" s="39">
        <f t="shared" si="2"/>
        <v>30000</v>
      </c>
      <c r="H76" s="37">
        <v>30000</v>
      </c>
      <c r="I76" s="38"/>
      <c r="J76" s="180"/>
      <c r="K76" s="132"/>
      <c r="L76" s="18"/>
    </row>
    <row r="77" spans="1:12" ht="78" customHeight="1">
      <c r="A77" s="239" t="s">
        <v>402</v>
      </c>
      <c r="B77" s="239" t="s">
        <v>403</v>
      </c>
      <c r="C77" s="239" t="s">
        <v>55</v>
      </c>
      <c r="D77" s="198" t="s">
        <v>404</v>
      </c>
      <c r="E77" s="278" t="s">
        <v>373</v>
      </c>
      <c r="F77" s="275" t="s">
        <v>372</v>
      </c>
      <c r="G77" s="39">
        <f t="shared" si="2"/>
        <v>17800</v>
      </c>
      <c r="H77" s="37">
        <v>17800</v>
      </c>
      <c r="I77" s="38"/>
      <c r="J77" s="180"/>
      <c r="K77" s="132"/>
      <c r="L77" s="18"/>
    </row>
    <row r="78" spans="1:12" ht="26.25" customHeight="1">
      <c r="A78" s="199" t="s">
        <v>56</v>
      </c>
      <c r="B78" s="243"/>
      <c r="C78" s="243"/>
      <c r="D78" s="281" t="s">
        <v>89</v>
      </c>
      <c r="E78" s="278"/>
      <c r="F78" s="275"/>
      <c r="G78" s="41">
        <f t="shared" si="2"/>
        <v>20664</v>
      </c>
      <c r="H78" s="40">
        <f>H79</f>
        <v>20664</v>
      </c>
      <c r="I78" s="40">
        <f>I79</f>
        <v>0</v>
      </c>
      <c r="J78" s="40">
        <f>J79</f>
        <v>0</v>
      </c>
      <c r="K78" s="132"/>
      <c r="L78" s="18"/>
    </row>
    <row r="79" spans="1:12" ht="27" customHeight="1">
      <c r="A79" s="199" t="s">
        <v>18</v>
      </c>
      <c r="B79" s="199"/>
      <c r="C79" s="199"/>
      <c r="D79" s="123" t="s">
        <v>90</v>
      </c>
      <c r="E79" s="278"/>
      <c r="F79" s="275"/>
      <c r="G79" s="41">
        <f t="shared" si="2"/>
        <v>20664</v>
      </c>
      <c r="H79" s="40">
        <f>H80+H81</f>
        <v>20664</v>
      </c>
      <c r="I79" s="40">
        <f>I80+I81</f>
        <v>0</v>
      </c>
      <c r="J79" s="40">
        <f>J80+J81</f>
        <v>0</v>
      </c>
      <c r="K79" s="132"/>
      <c r="L79" s="18"/>
    </row>
    <row r="80" spans="1:12" ht="61.5" customHeight="1">
      <c r="A80" s="239" t="s">
        <v>389</v>
      </c>
      <c r="B80" s="239" t="s">
        <v>390</v>
      </c>
      <c r="C80" s="239" t="s">
        <v>44</v>
      </c>
      <c r="D80" s="282" t="s">
        <v>553</v>
      </c>
      <c r="E80" s="278" t="s">
        <v>353</v>
      </c>
      <c r="F80" s="275" t="s">
        <v>609</v>
      </c>
      <c r="G80" s="39">
        <f t="shared" si="2"/>
        <v>20664</v>
      </c>
      <c r="H80" s="37">
        <f>'Додаток 3'!E110</f>
        <v>20664</v>
      </c>
      <c r="I80" s="38"/>
      <c r="J80" s="180"/>
      <c r="K80" s="132"/>
      <c r="L80" s="18"/>
    </row>
    <row r="81" spans="1:16" ht="61.5" hidden="1" customHeight="1">
      <c r="A81" s="239" t="s">
        <v>20</v>
      </c>
      <c r="B81" s="239" t="s">
        <v>465</v>
      </c>
      <c r="C81" s="239" t="s">
        <v>39</v>
      </c>
      <c r="D81" s="282" t="s">
        <v>521</v>
      </c>
      <c r="E81" s="278" t="s">
        <v>355</v>
      </c>
      <c r="F81" s="275" t="s">
        <v>356</v>
      </c>
      <c r="G81" s="39">
        <f t="shared" si="2"/>
        <v>0</v>
      </c>
      <c r="H81" s="37">
        <f>'Додаток 3'!E121</f>
        <v>0</v>
      </c>
      <c r="I81" s="38"/>
      <c r="J81" s="180"/>
      <c r="K81" s="132"/>
      <c r="L81" s="18"/>
    </row>
    <row r="82" spans="1:16" ht="30" customHeight="1">
      <c r="A82" s="244" t="s">
        <v>22</v>
      </c>
      <c r="B82" s="239"/>
      <c r="C82" s="239"/>
      <c r="D82" s="281" t="s">
        <v>88</v>
      </c>
      <c r="E82" s="278"/>
      <c r="F82" s="275"/>
      <c r="G82" s="41">
        <f t="shared" si="2"/>
        <v>257076</v>
      </c>
      <c r="H82" s="40">
        <f>H83</f>
        <v>257076</v>
      </c>
      <c r="I82" s="40"/>
      <c r="J82" s="40"/>
      <c r="K82" s="132"/>
      <c r="L82" s="18"/>
    </row>
    <row r="83" spans="1:16" ht="33" customHeight="1">
      <c r="A83" s="244" t="s">
        <v>95</v>
      </c>
      <c r="B83" s="244"/>
      <c r="C83" s="244"/>
      <c r="D83" s="123" t="s">
        <v>88</v>
      </c>
      <c r="E83" s="278"/>
      <c r="F83" s="275"/>
      <c r="G83" s="41">
        <f t="shared" si="2"/>
        <v>257076</v>
      </c>
      <c r="H83" s="40">
        <f>H84+H86+H85+H87</f>
        <v>257076</v>
      </c>
      <c r="I83" s="40"/>
      <c r="J83" s="40"/>
      <c r="K83" s="132"/>
      <c r="L83" s="18"/>
    </row>
    <row r="84" spans="1:16" ht="45" customHeight="1">
      <c r="A84" s="239" t="s">
        <v>27</v>
      </c>
      <c r="B84" s="239" t="s">
        <v>484</v>
      </c>
      <c r="C84" s="239" t="s">
        <v>47</v>
      </c>
      <c r="D84" s="279" t="s">
        <v>542</v>
      </c>
      <c r="E84" s="278" t="s">
        <v>105</v>
      </c>
      <c r="F84" s="275" t="s">
        <v>604</v>
      </c>
      <c r="G84" s="39">
        <f t="shared" si="2"/>
        <v>183925</v>
      </c>
      <c r="H84" s="37">
        <f>'Додаток 3'!E135</f>
        <v>183925</v>
      </c>
      <c r="I84" s="37"/>
      <c r="J84" s="180"/>
      <c r="K84" s="132"/>
      <c r="L84" s="18"/>
    </row>
    <row r="85" spans="1:16" ht="60" customHeight="1">
      <c r="A85" s="241" t="s">
        <v>175</v>
      </c>
      <c r="B85" s="241" t="s">
        <v>520</v>
      </c>
      <c r="C85" s="241" t="s">
        <v>40</v>
      </c>
      <c r="D85" s="272" t="s">
        <v>458</v>
      </c>
      <c r="E85" s="278" t="s">
        <v>176</v>
      </c>
      <c r="F85" s="275" t="s">
        <v>152</v>
      </c>
      <c r="G85" s="39">
        <f t="shared" si="2"/>
        <v>36576</v>
      </c>
      <c r="H85" s="37">
        <v>36576</v>
      </c>
      <c r="I85" s="38"/>
      <c r="J85" s="180"/>
      <c r="K85" s="132"/>
      <c r="L85" s="18"/>
    </row>
    <row r="86" spans="1:16" ht="57" customHeight="1">
      <c r="A86" s="241" t="s">
        <v>175</v>
      </c>
      <c r="B86" s="241" t="s">
        <v>520</v>
      </c>
      <c r="C86" s="241" t="s">
        <v>40</v>
      </c>
      <c r="D86" s="272" t="s">
        <v>458</v>
      </c>
      <c r="E86" s="127" t="s">
        <v>174</v>
      </c>
      <c r="F86" s="275" t="s">
        <v>151</v>
      </c>
      <c r="G86" s="39">
        <f t="shared" si="2"/>
        <v>36575</v>
      </c>
      <c r="H86" s="37">
        <v>36575</v>
      </c>
      <c r="I86" s="38"/>
      <c r="J86" s="180"/>
      <c r="K86" s="132"/>
      <c r="L86" s="18"/>
    </row>
    <row r="87" spans="1:16" ht="43.5" hidden="1" customHeight="1">
      <c r="A87" s="239" t="s">
        <v>405</v>
      </c>
      <c r="B87" s="239" t="s">
        <v>406</v>
      </c>
      <c r="C87" s="239" t="s">
        <v>407</v>
      </c>
      <c r="D87" s="129" t="s">
        <v>408</v>
      </c>
      <c r="E87" s="280" t="s">
        <v>351</v>
      </c>
      <c r="F87" s="276" t="s">
        <v>349</v>
      </c>
      <c r="G87" s="39">
        <f t="shared" si="2"/>
        <v>0</v>
      </c>
      <c r="H87" s="37">
        <f>'Додаток 3'!E138</f>
        <v>0</v>
      </c>
      <c r="I87" s="38"/>
      <c r="J87" s="180"/>
      <c r="K87" s="132"/>
      <c r="L87" s="18"/>
    </row>
    <row r="88" spans="1:16" ht="30" customHeight="1">
      <c r="A88" s="64" t="s">
        <v>57</v>
      </c>
      <c r="B88" s="20"/>
      <c r="C88" s="20"/>
      <c r="D88" s="44" t="s">
        <v>423</v>
      </c>
      <c r="E88" s="39"/>
      <c r="F88" s="39"/>
      <c r="G88" s="39">
        <f>H88+I88</f>
        <v>600000</v>
      </c>
      <c r="H88" s="37">
        <f>H89</f>
        <v>600000</v>
      </c>
      <c r="I88" s="38"/>
      <c r="J88" s="180"/>
      <c r="K88" s="132"/>
      <c r="L88" s="18"/>
    </row>
    <row r="89" spans="1:16" ht="32.25" customHeight="1">
      <c r="A89" s="64" t="s">
        <v>58</v>
      </c>
      <c r="B89" s="60"/>
      <c r="C89" s="60"/>
      <c r="D89" s="45" t="s">
        <v>423</v>
      </c>
      <c r="E89" s="39"/>
      <c r="F89" s="39"/>
      <c r="G89" s="39">
        <f>H89+I89</f>
        <v>600000</v>
      </c>
      <c r="H89" s="37">
        <f>H90</f>
        <v>600000</v>
      </c>
      <c r="I89" s="38"/>
      <c r="J89" s="180"/>
      <c r="K89" s="132"/>
      <c r="L89" s="18"/>
    </row>
    <row r="90" spans="1:16" ht="141" customHeight="1">
      <c r="A90" s="239" t="s">
        <v>59</v>
      </c>
      <c r="B90" s="239" t="s">
        <v>159</v>
      </c>
      <c r="C90" s="239" t="s">
        <v>55</v>
      </c>
      <c r="D90" s="198" t="s">
        <v>543</v>
      </c>
      <c r="E90" s="178" t="s">
        <v>700</v>
      </c>
      <c r="F90" s="275" t="s">
        <v>701</v>
      </c>
      <c r="G90" s="39">
        <f>H90+I90</f>
        <v>600000</v>
      </c>
      <c r="H90" s="37">
        <v>600000</v>
      </c>
      <c r="I90" s="38"/>
      <c r="J90" s="180"/>
      <c r="K90" s="132"/>
      <c r="L90" s="18"/>
    </row>
    <row r="91" spans="1:16" ht="15">
      <c r="A91" s="245"/>
      <c r="B91" s="239"/>
      <c r="C91" s="239"/>
      <c r="D91" s="105" t="s">
        <v>513</v>
      </c>
      <c r="E91" s="39"/>
      <c r="F91" s="39"/>
      <c r="G91" s="41">
        <f>G82+G78+G15+G88</f>
        <v>103966261</v>
      </c>
      <c r="H91" s="41">
        <f>H82+H78+H15+H88</f>
        <v>74604693</v>
      </c>
      <c r="I91" s="41">
        <f>I82+I78+I15+I88</f>
        <v>29361568</v>
      </c>
      <c r="J91" s="41">
        <f>J82+J78+J15+J88</f>
        <v>28925136</v>
      </c>
      <c r="K91" s="135"/>
      <c r="L91" s="446">
        <v>90781949</v>
      </c>
      <c r="M91" s="446">
        <v>66919818</v>
      </c>
      <c r="N91" s="576">
        <v>23862131</v>
      </c>
      <c r="O91" s="576"/>
      <c r="P91" s="446">
        <v>23491699</v>
      </c>
    </row>
    <row r="92" spans="1:16" ht="15.95" customHeight="1">
      <c r="A92" s="579"/>
      <c r="B92" s="579"/>
      <c r="C92" s="579"/>
      <c r="D92" s="579"/>
      <c r="E92" s="579"/>
      <c r="F92" s="579"/>
      <c r="G92" s="579"/>
      <c r="H92" s="579"/>
      <c r="I92" s="42"/>
      <c r="J92" s="181"/>
      <c r="L92" s="18">
        <f>G91-L91</f>
        <v>13184312</v>
      </c>
      <c r="M92" s="18">
        <f>H91-M91</f>
        <v>7684875</v>
      </c>
      <c r="N92" s="18">
        <f t="shared" ref="N92" si="3">I91-N91</f>
        <v>5499437</v>
      </c>
      <c r="O92" s="18">
        <f>I91-N91</f>
        <v>5499437</v>
      </c>
      <c r="P92" s="18">
        <f>J91-P91</f>
        <v>5433437</v>
      </c>
    </row>
    <row r="93" spans="1:16" ht="15.75">
      <c r="A93" s="224" t="s">
        <v>67</v>
      </c>
      <c r="B93" s="134"/>
      <c r="C93" s="134"/>
      <c r="D93" s="7" t="s">
        <v>66</v>
      </c>
      <c r="E93" s="130" t="s">
        <v>68</v>
      </c>
      <c r="F93" s="82"/>
      <c r="G93" s="82"/>
      <c r="H93" s="83"/>
      <c r="I93" s="29"/>
      <c r="J93" s="82"/>
    </row>
    <row r="94" spans="1:16" ht="14.25" customHeight="1">
      <c r="A94" s="182"/>
      <c r="B94" s="182"/>
      <c r="C94" s="182"/>
      <c r="D94" s="183"/>
      <c r="E94" s="184"/>
      <c r="F94" s="184"/>
      <c r="G94" s="184"/>
      <c r="H94" s="266"/>
      <c r="I94" s="185"/>
      <c r="J94" s="82"/>
    </row>
    <row r="95" spans="1:16" ht="15" hidden="1">
      <c r="A95" s="577"/>
      <c r="B95" s="577"/>
      <c r="C95" s="577"/>
      <c r="D95" s="578"/>
      <c r="E95" s="578"/>
      <c r="F95" s="578"/>
      <c r="G95" s="578"/>
      <c r="H95" s="578"/>
      <c r="I95" s="82"/>
      <c r="J95" s="82"/>
    </row>
    <row r="96" spans="1:16" ht="15.75" hidden="1">
      <c r="A96" s="187"/>
      <c r="B96" s="187"/>
      <c r="C96" s="187"/>
      <c r="D96" s="188"/>
      <c r="E96" s="186"/>
      <c r="F96" s="186"/>
      <c r="G96" s="186"/>
      <c r="H96" s="189"/>
      <c r="I96" s="82"/>
      <c r="J96" s="82"/>
    </row>
    <row r="97" spans="1:11" ht="15.75" hidden="1">
      <c r="A97" s="190"/>
      <c r="B97" s="190"/>
      <c r="C97" s="190"/>
      <c r="D97" s="191"/>
      <c r="E97" s="192"/>
      <c r="F97" s="192"/>
      <c r="G97" s="192"/>
      <c r="H97" s="83"/>
      <c r="I97" s="82"/>
      <c r="J97" s="82"/>
    </row>
    <row r="98" spans="1:11" ht="15.75" hidden="1">
      <c r="A98" s="193"/>
      <c r="B98" s="193"/>
      <c r="C98" s="193"/>
      <c r="D98" s="30"/>
      <c r="E98" s="31"/>
      <c r="F98" s="31"/>
      <c r="G98" s="31"/>
      <c r="H98" s="83"/>
      <c r="I98" s="82"/>
      <c r="J98" s="82"/>
    </row>
    <row r="99" spans="1:11" ht="15.75" hidden="1">
      <c r="A99" s="82"/>
      <c r="B99" s="82"/>
      <c r="C99" s="82"/>
      <c r="D99" s="183"/>
      <c r="E99" s="82"/>
      <c r="F99" s="82"/>
      <c r="G99" s="82"/>
      <c r="H99" s="194"/>
      <c r="I99" s="82"/>
      <c r="J99" s="7"/>
    </row>
    <row r="100" spans="1:11" ht="15.75" hidden="1">
      <c r="A100" s="82"/>
      <c r="B100" s="82"/>
      <c r="C100" s="82"/>
      <c r="D100" s="195"/>
      <c r="E100" s="82"/>
      <c r="F100" s="82"/>
      <c r="G100" s="82"/>
      <c r="H100" s="194"/>
      <c r="I100" s="196"/>
      <c r="J100" s="82"/>
    </row>
    <row r="101" spans="1:11" ht="15.75">
      <c r="A101" s="82"/>
      <c r="B101" s="82"/>
      <c r="C101" s="82"/>
      <c r="D101" s="183"/>
      <c r="E101" s="82"/>
      <c r="F101" s="82"/>
      <c r="G101" s="284"/>
      <c r="H101" s="284"/>
      <c r="I101" s="197"/>
      <c r="J101" s="284"/>
      <c r="K101" s="273"/>
    </row>
    <row r="102" spans="1:11" ht="15.75">
      <c r="A102" s="82"/>
      <c r="B102" s="82"/>
      <c r="C102" s="82"/>
      <c r="D102" s="183"/>
      <c r="E102" s="82"/>
      <c r="F102" s="82"/>
      <c r="G102" s="83"/>
      <c r="H102" s="83"/>
      <c r="I102" s="83"/>
      <c r="J102" s="83"/>
      <c r="K102" s="273"/>
    </row>
    <row r="103" spans="1:11">
      <c r="A103" s="70"/>
      <c r="B103" s="70"/>
      <c r="C103" s="70"/>
      <c r="D103" s="70"/>
      <c r="E103" s="70"/>
      <c r="F103" s="70"/>
      <c r="G103" s="266"/>
      <c r="H103" s="266"/>
      <c r="I103" s="266"/>
      <c r="J103" s="266"/>
      <c r="K103" s="273"/>
    </row>
    <row r="104" spans="1:11" ht="15">
      <c r="A104" s="70"/>
      <c r="B104" s="70"/>
      <c r="C104" s="70"/>
      <c r="D104" s="70"/>
      <c r="E104" s="70"/>
      <c r="F104" s="70"/>
      <c r="G104" s="70"/>
      <c r="H104" s="7"/>
      <c r="I104" s="70"/>
      <c r="J104" s="70"/>
    </row>
    <row r="105" spans="1:11">
      <c r="A105" s="70"/>
      <c r="B105" s="70"/>
      <c r="C105" s="70"/>
      <c r="D105" s="70"/>
      <c r="E105" s="70"/>
      <c r="F105" s="70"/>
      <c r="G105" s="70"/>
      <c r="H105" s="70"/>
      <c r="I105" s="70"/>
      <c r="J105" s="70"/>
    </row>
    <row r="106" spans="1:11">
      <c r="A106" s="70"/>
      <c r="B106" s="70"/>
      <c r="C106" s="70"/>
      <c r="D106" s="70"/>
      <c r="E106" s="70"/>
      <c r="F106" s="70"/>
      <c r="G106" s="269"/>
      <c r="H106" s="269"/>
      <c r="I106" s="269"/>
      <c r="J106" s="269"/>
    </row>
    <row r="107" spans="1:11">
      <c r="A107" s="70"/>
      <c r="B107" s="70"/>
      <c r="C107" s="70"/>
      <c r="D107" s="70"/>
      <c r="E107" s="70"/>
      <c r="F107" s="70"/>
      <c r="G107" s="70"/>
      <c r="H107" s="70"/>
      <c r="I107" s="70"/>
      <c r="J107" s="70"/>
    </row>
    <row r="108" spans="1:11">
      <c r="A108" s="70"/>
      <c r="B108" s="70"/>
      <c r="C108" s="70"/>
      <c r="D108" s="70"/>
      <c r="E108" s="70"/>
      <c r="F108" s="70"/>
      <c r="G108" s="70"/>
      <c r="H108" s="70"/>
      <c r="I108" s="70"/>
      <c r="J108" s="70"/>
    </row>
    <row r="109" spans="1:11">
      <c r="A109" s="70"/>
      <c r="B109" s="70"/>
      <c r="C109" s="70"/>
      <c r="D109" s="70"/>
      <c r="E109" s="70"/>
      <c r="F109" s="70"/>
      <c r="G109" s="70"/>
      <c r="H109" s="70"/>
      <c r="I109" s="70"/>
      <c r="J109" s="70"/>
    </row>
    <row r="110" spans="1:11">
      <c r="A110" s="70"/>
      <c r="B110" s="70"/>
      <c r="C110" s="70"/>
      <c r="D110" s="70"/>
      <c r="E110" s="70"/>
      <c r="F110" s="70"/>
      <c r="G110" s="70"/>
      <c r="H110" s="70"/>
      <c r="I110" s="70"/>
      <c r="J110" s="70"/>
    </row>
    <row r="111" spans="1:11">
      <c r="A111" s="70"/>
      <c r="B111" s="70"/>
      <c r="C111" s="70"/>
      <c r="D111" s="70"/>
      <c r="E111" s="70"/>
      <c r="F111" s="70"/>
      <c r="G111" s="70"/>
      <c r="H111" s="70"/>
      <c r="I111" s="70"/>
      <c r="J111" s="70"/>
    </row>
    <row r="112" spans="1:11">
      <c r="A112" s="70"/>
      <c r="B112" s="70"/>
      <c r="C112" s="70"/>
      <c r="D112" s="70"/>
      <c r="E112" s="70"/>
      <c r="F112" s="70"/>
      <c r="G112" s="70"/>
      <c r="H112" s="70"/>
      <c r="I112" s="70"/>
      <c r="J112" s="70"/>
    </row>
    <row r="113" spans="1:10">
      <c r="A113" s="70"/>
      <c r="B113" s="70"/>
      <c r="C113" s="70"/>
      <c r="D113" s="70"/>
      <c r="E113" s="70"/>
      <c r="F113" s="70"/>
      <c r="G113" s="70"/>
      <c r="H113" s="70"/>
      <c r="I113" s="70"/>
      <c r="J113" s="70"/>
    </row>
    <row r="114" spans="1:10">
      <c r="A114" s="70"/>
      <c r="B114" s="70"/>
      <c r="C114" s="70"/>
      <c r="D114" s="70"/>
      <c r="E114" s="70"/>
      <c r="F114" s="70"/>
      <c r="G114" s="70"/>
      <c r="H114" s="70"/>
      <c r="I114" s="70"/>
      <c r="J114" s="70"/>
    </row>
    <row r="115" spans="1:10">
      <c r="A115" s="70"/>
      <c r="B115" s="70"/>
      <c r="C115" s="70"/>
      <c r="D115" s="70"/>
      <c r="E115" s="70"/>
      <c r="F115" s="70"/>
      <c r="G115" s="70"/>
      <c r="H115" s="70"/>
      <c r="I115" s="70"/>
      <c r="J115" s="70"/>
    </row>
    <row r="116" spans="1:10">
      <c r="A116" s="70"/>
      <c r="B116" s="70"/>
      <c r="C116" s="70"/>
      <c r="D116" s="70"/>
      <c r="E116" s="70"/>
      <c r="F116" s="70"/>
      <c r="G116" s="70"/>
      <c r="H116" s="70"/>
      <c r="I116" s="70"/>
      <c r="J116" s="70"/>
    </row>
    <row r="117" spans="1:10">
      <c r="A117" s="70"/>
      <c r="B117" s="70"/>
      <c r="C117" s="70"/>
      <c r="D117" s="70"/>
      <c r="E117" s="70"/>
      <c r="F117" s="70"/>
      <c r="G117" s="70"/>
      <c r="H117" s="70"/>
      <c r="I117" s="70"/>
      <c r="J117" s="70"/>
    </row>
    <row r="118" spans="1:10">
      <c r="A118" s="70"/>
      <c r="B118" s="70"/>
      <c r="C118" s="70"/>
      <c r="D118" s="70"/>
      <c r="E118" s="70"/>
      <c r="F118" s="70"/>
      <c r="G118" s="70"/>
      <c r="H118" s="70"/>
      <c r="I118" s="70"/>
      <c r="J118" s="70"/>
    </row>
    <row r="119" spans="1:10">
      <c r="A119" s="70"/>
      <c r="B119" s="70"/>
      <c r="C119" s="70"/>
      <c r="D119" s="70"/>
      <c r="E119" s="70"/>
      <c r="F119" s="70"/>
      <c r="G119" s="70"/>
      <c r="H119" s="70"/>
      <c r="I119" s="70"/>
      <c r="J119" s="70"/>
    </row>
    <row r="120" spans="1:10">
      <c r="A120" s="70"/>
      <c r="B120" s="70"/>
      <c r="C120" s="70"/>
      <c r="D120" s="70"/>
      <c r="E120" s="70"/>
      <c r="F120" s="70"/>
      <c r="G120" s="70"/>
      <c r="H120" s="70"/>
      <c r="I120" s="70"/>
      <c r="J120" s="70"/>
    </row>
    <row r="121" spans="1:10">
      <c r="A121" s="70"/>
      <c r="B121" s="70"/>
      <c r="C121" s="70"/>
      <c r="D121" s="70"/>
      <c r="E121" s="70"/>
      <c r="F121" s="70"/>
      <c r="G121" s="70"/>
      <c r="H121" s="70"/>
      <c r="I121" s="70"/>
      <c r="J121" s="70"/>
    </row>
    <row r="122" spans="1:10">
      <c r="A122" s="70"/>
      <c r="B122" s="70"/>
      <c r="C122" s="70"/>
      <c r="D122" s="70"/>
      <c r="E122" s="70"/>
      <c r="F122" s="70"/>
      <c r="G122" s="70"/>
      <c r="H122" s="70"/>
      <c r="I122" s="70"/>
      <c r="J122" s="70"/>
    </row>
    <row r="123" spans="1:10">
      <c r="A123" s="70"/>
      <c r="B123" s="70"/>
      <c r="C123" s="70"/>
      <c r="D123" s="70"/>
      <c r="E123" s="70"/>
      <c r="F123" s="70"/>
      <c r="G123" s="70"/>
      <c r="H123" s="70"/>
      <c r="I123" s="70"/>
      <c r="J123" s="70"/>
    </row>
    <row r="124" spans="1:10">
      <c r="A124" s="70"/>
      <c r="B124" s="70"/>
      <c r="C124" s="70"/>
      <c r="D124" s="70"/>
      <c r="E124" s="70"/>
      <c r="F124" s="70"/>
      <c r="G124" s="70"/>
      <c r="H124" s="70"/>
      <c r="I124" s="70"/>
      <c r="J124" s="70"/>
    </row>
    <row r="125" spans="1:10">
      <c r="A125" s="70"/>
      <c r="B125" s="70"/>
      <c r="C125" s="70"/>
      <c r="D125" s="70"/>
      <c r="E125" s="70"/>
      <c r="F125" s="70"/>
      <c r="G125" s="70"/>
      <c r="H125" s="70"/>
      <c r="I125" s="70"/>
      <c r="J125" s="70"/>
    </row>
    <row r="126" spans="1:10">
      <c r="A126" s="70"/>
      <c r="B126" s="70"/>
      <c r="C126" s="70"/>
      <c r="D126" s="70"/>
      <c r="E126" s="70"/>
      <c r="F126" s="70"/>
      <c r="G126" s="70"/>
      <c r="H126" s="70"/>
      <c r="I126" s="70"/>
      <c r="J126" s="70"/>
    </row>
  </sheetData>
  <mergeCells count="15">
    <mergeCell ref="G5:J5"/>
    <mergeCell ref="C12:C13"/>
    <mergeCell ref="D12:D13"/>
    <mergeCell ref="A8:J8"/>
    <mergeCell ref="B12:B13"/>
    <mergeCell ref="E12:E13"/>
    <mergeCell ref="H12:H13"/>
    <mergeCell ref="A12:A13"/>
    <mergeCell ref="I12:J12"/>
    <mergeCell ref="N15:O15"/>
    <mergeCell ref="N91:O91"/>
    <mergeCell ref="A95:H95"/>
    <mergeCell ref="A92:H92"/>
    <mergeCell ref="G12:G13"/>
    <mergeCell ref="F12:F13"/>
  </mergeCells>
  <phoneticPr fontId="0" type="noConversion"/>
  <printOptions horizontalCentered="1"/>
  <pageMargins left="0.23622047244094491" right="0.23622047244094491" top="0.74803149606299213" bottom="0.74803149606299213" header="0.31496062992125984" footer="0.31496062992125984"/>
  <pageSetup paperSize="9" scale="62" orientation="landscape" horizontalDpi="300" verticalDpi="300" r:id="rId1"/>
  <headerFooter alignWithMargins="0"/>
  <rowBreaks count="7" manualBreakCount="7">
    <brk id="23" max="9" man="1"/>
    <brk id="37" max="9" man="1"/>
    <brk id="49" max="9" man="1"/>
    <brk id="58" max="9" man="1"/>
    <brk id="67" max="9" man="1"/>
    <brk id="76" max="9" man="1"/>
    <brk id="10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10</vt:i4>
      </vt:variant>
    </vt:vector>
  </HeadingPairs>
  <TitlesOfParts>
    <vt:vector size="16" baseType="lpstr">
      <vt:lpstr>Додаток 1</vt:lpstr>
      <vt:lpstr>додаток 2 </vt:lpstr>
      <vt:lpstr>Додаток 3</vt:lpstr>
      <vt:lpstr>Додаток 4</vt:lpstr>
      <vt:lpstr>додаток 5 </vt:lpstr>
      <vt:lpstr>Додаток 6</vt:lpstr>
      <vt:lpstr>'Додаток 1'!Заголовки_для_печати</vt:lpstr>
      <vt:lpstr>'Додаток 3'!Заголовки_для_печати</vt:lpstr>
      <vt:lpstr>'Додаток 4'!Заголовки_для_печати</vt:lpstr>
      <vt:lpstr>'Додаток 6'!Заголовки_для_печати</vt:lpstr>
      <vt:lpstr>'Додаток 1'!Область_печати</vt:lpstr>
      <vt:lpstr>'додаток 2 '!Область_печати</vt:lpstr>
      <vt:lpstr>'Додаток 3'!Область_печати</vt:lpstr>
      <vt:lpstr>'Додаток 4'!Область_печати</vt:lpstr>
      <vt:lpstr>'додаток 5 '!Область_печати</vt:lpstr>
      <vt:lpstr>'Додаток 6'!Область_печати</vt:lpstr>
    </vt:vector>
  </TitlesOfParts>
  <Company>RFU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Rainbow</dc:creator>
  <cp:lastModifiedBy>Larisa</cp:lastModifiedBy>
  <cp:lastPrinted>2023-09-11T12:26:09Z</cp:lastPrinted>
  <dcterms:created xsi:type="dcterms:W3CDTF">2002-01-05T09:44:37Z</dcterms:created>
  <dcterms:modified xsi:type="dcterms:W3CDTF">2023-09-21T12:24:46Z</dcterms:modified>
</cp:coreProperties>
</file>