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ENA\Доходи 2021\"/>
    </mc:Choice>
  </mc:AlternateContent>
  <bookViews>
    <workbookView xWindow="0" yWindow="0" windowWidth="17970" windowHeight="5580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6" i="1" l="1"/>
  <c r="F247" i="1" s="1"/>
  <c r="G246" i="1"/>
  <c r="H246" i="1"/>
  <c r="H247" i="1" s="1"/>
  <c r="I246" i="1"/>
  <c r="J246" i="1"/>
  <c r="J247" i="1" s="1"/>
  <c r="K246" i="1"/>
  <c r="L246" i="1"/>
  <c r="L247" i="1" s="1"/>
  <c r="M246" i="1"/>
  <c r="N246" i="1"/>
  <c r="N247" i="1" s="1"/>
  <c r="O246" i="1"/>
  <c r="P246" i="1"/>
  <c r="P247" i="1" s="1"/>
  <c r="G247" i="1"/>
  <c r="I247" i="1"/>
  <c r="K247" i="1"/>
  <c r="M247" i="1"/>
  <c r="O247" i="1"/>
  <c r="E246" i="1"/>
  <c r="E247" i="1"/>
  <c r="H239" i="1"/>
  <c r="G239" i="1"/>
  <c r="M238" i="1"/>
  <c r="L238" i="1"/>
  <c r="K238" i="1"/>
  <c r="J238" i="1"/>
  <c r="I238" i="1"/>
  <c r="H238" i="1"/>
  <c r="G238" i="1"/>
  <c r="H236" i="1"/>
  <c r="G236" i="1"/>
  <c r="Q234" i="1"/>
  <c r="Q235" i="1"/>
  <c r="Q233" i="1"/>
  <c r="P232" i="1"/>
  <c r="O232" i="1"/>
  <c r="N232" i="1"/>
  <c r="M232" i="1"/>
  <c r="L232" i="1"/>
  <c r="K232" i="1"/>
  <c r="J232" i="1"/>
  <c r="I232" i="1"/>
  <c r="H232" i="1"/>
  <c r="G232" i="1"/>
  <c r="F232" i="1"/>
  <c r="H231" i="1"/>
  <c r="G231" i="1"/>
  <c r="G230" i="1"/>
  <c r="Q225" i="1"/>
  <c r="Q226" i="1"/>
  <c r="Q227" i="1"/>
  <c r="Q224" i="1"/>
  <c r="P223" i="1"/>
  <c r="O223" i="1"/>
  <c r="N223" i="1"/>
  <c r="M223" i="1"/>
  <c r="L223" i="1"/>
  <c r="K223" i="1"/>
  <c r="J223" i="1"/>
  <c r="I223" i="1"/>
  <c r="H223" i="1"/>
  <c r="G223" i="1"/>
  <c r="F223" i="1"/>
  <c r="Q222" i="1"/>
  <c r="P154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6" i="1"/>
  <c r="Q177" i="1"/>
  <c r="Q178" i="1"/>
  <c r="Q179" i="1"/>
  <c r="Q180" i="1"/>
  <c r="Q181" i="1"/>
  <c r="Q182" i="1"/>
  <c r="Q183" i="1"/>
  <c r="Q184" i="1"/>
  <c r="Q185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155" i="1"/>
  <c r="H186" i="1"/>
  <c r="Q186" i="1" s="1"/>
  <c r="G185" i="1"/>
  <c r="G175" i="1"/>
  <c r="G154" i="1" s="1"/>
  <c r="O154" i="1"/>
  <c r="N154" i="1"/>
  <c r="M154" i="1"/>
  <c r="L154" i="1"/>
  <c r="K154" i="1"/>
  <c r="J154" i="1"/>
  <c r="I154" i="1"/>
  <c r="H154" i="1"/>
  <c r="F154" i="1"/>
  <c r="Q153" i="1"/>
  <c r="Q152" i="1"/>
  <c r="P151" i="1"/>
  <c r="O151" i="1"/>
  <c r="N151" i="1"/>
  <c r="M151" i="1"/>
  <c r="L151" i="1"/>
  <c r="K151" i="1"/>
  <c r="J151" i="1"/>
  <c r="I151" i="1"/>
  <c r="H151" i="1"/>
  <c r="G151" i="1"/>
  <c r="F151" i="1"/>
  <c r="Q150" i="1"/>
  <c r="P124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25" i="1"/>
  <c r="O124" i="1"/>
  <c r="N124" i="1"/>
  <c r="M124" i="1"/>
  <c r="L124" i="1"/>
  <c r="K124" i="1"/>
  <c r="J124" i="1"/>
  <c r="I124" i="1"/>
  <c r="H124" i="1"/>
  <c r="G124" i="1"/>
  <c r="F124" i="1"/>
  <c r="E124" i="1"/>
  <c r="Q114" i="1"/>
  <c r="Q115" i="1"/>
  <c r="Q116" i="1"/>
  <c r="Q117" i="1"/>
  <c r="Q118" i="1"/>
  <c r="Q119" i="1"/>
  <c r="Q120" i="1"/>
  <c r="Q121" i="1"/>
  <c r="Q122" i="1"/>
  <c r="Q113" i="1"/>
  <c r="P112" i="1"/>
  <c r="G123" i="1"/>
  <c r="O112" i="1"/>
  <c r="N112" i="1"/>
  <c r="M112" i="1"/>
  <c r="L112" i="1"/>
  <c r="K112" i="1"/>
  <c r="J112" i="1"/>
  <c r="I112" i="1"/>
  <c r="H112" i="1"/>
  <c r="G112" i="1"/>
  <c r="F112" i="1"/>
  <c r="Q105" i="1"/>
  <c r="Q106" i="1"/>
  <c r="Q107" i="1"/>
  <c r="Q108" i="1"/>
  <c r="Q109" i="1"/>
  <c r="Q110" i="1"/>
  <c r="Q111" i="1"/>
  <c r="Q104" i="1"/>
  <c r="P103" i="1"/>
  <c r="O103" i="1"/>
  <c r="N103" i="1"/>
  <c r="M103" i="1"/>
  <c r="L103" i="1"/>
  <c r="K103" i="1"/>
  <c r="J103" i="1"/>
  <c r="I103" i="1"/>
  <c r="H103" i="1"/>
  <c r="G103" i="1"/>
  <c r="F103" i="1"/>
  <c r="Q99" i="1"/>
  <c r="Q100" i="1"/>
  <c r="Q102" i="1"/>
  <c r="Q98" i="1"/>
  <c r="P97" i="1"/>
  <c r="E101" i="1"/>
  <c r="Q101" i="1" s="1"/>
  <c r="O97" i="1"/>
  <c r="N97" i="1"/>
  <c r="M97" i="1"/>
  <c r="L97" i="1"/>
  <c r="K97" i="1"/>
  <c r="J97" i="1"/>
  <c r="I97" i="1"/>
  <c r="H97" i="1"/>
  <c r="G97" i="1"/>
  <c r="F97" i="1"/>
  <c r="Q87" i="1"/>
  <c r="Q88" i="1"/>
  <c r="Q89" i="1"/>
  <c r="Q91" i="1"/>
  <c r="Q92" i="1"/>
  <c r="Q93" i="1"/>
  <c r="Q86" i="1"/>
  <c r="P85" i="1"/>
  <c r="H90" i="1"/>
  <c r="Q90" i="1" s="1"/>
  <c r="O85" i="1"/>
  <c r="N85" i="1"/>
  <c r="M85" i="1"/>
  <c r="L85" i="1"/>
  <c r="K85" i="1"/>
  <c r="J85" i="1"/>
  <c r="I85" i="1"/>
  <c r="H85" i="1"/>
  <c r="G85" i="1"/>
  <c r="F85" i="1"/>
  <c r="E85" i="1"/>
  <c r="Q84" i="1"/>
  <c r="Q83" i="1"/>
  <c r="P82" i="1"/>
  <c r="O82" i="1"/>
  <c r="N82" i="1"/>
  <c r="M82" i="1"/>
  <c r="L82" i="1"/>
  <c r="K82" i="1"/>
  <c r="J82" i="1"/>
  <c r="I82" i="1"/>
  <c r="H82" i="1"/>
  <c r="G82" i="1"/>
  <c r="F82" i="1"/>
  <c r="Q80" i="1"/>
  <c r="P79" i="1"/>
  <c r="O79" i="1"/>
  <c r="N79" i="1"/>
  <c r="M79" i="1"/>
  <c r="L79" i="1"/>
  <c r="K79" i="1"/>
  <c r="J79" i="1"/>
  <c r="I79" i="1"/>
  <c r="H79" i="1"/>
  <c r="G79" i="1"/>
  <c r="F79" i="1"/>
  <c r="P42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43" i="1"/>
  <c r="G53" i="1"/>
  <c r="F44" i="1"/>
  <c r="Q44" i="1" s="1"/>
  <c r="O42" i="1"/>
  <c r="N42" i="1"/>
  <c r="M42" i="1"/>
  <c r="L42" i="1"/>
  <c r="K42" i="1"/>
  <c r="J42" i="1"/>
  <c r="I42" i="1"/>
  <c r="H42" i="1"/>
  <c r="G42" i="1"/>
  <c r="F42" i="1"/>
  <c r="Q40" i="1"/>
  <c r="P39" i="1"/>
  <c r="H41" i="1"/>
  <c r="H39" i="1" s="1"/>
  <c r="G41" i="1"/>
  <c r="Q41" i="1" s="1"/>
  <c r="O39" i="1"/>
  <c r="N39" i="1"/>
  <c r="M39" i="1"/>
  <c r="L39" i="1"/>
  <c r="K39" i="1"/>
  <c r="J39" i="1"/>
  <c r="I39" i="1"/>
  <c r="G39" i="1"/>
  <c r="F39" i="1"/>
  <c r="Q11" i="1"/>
  <c r="Q15" i="1"/>
  <c r="Q19" i="1"/>
  <c r="Q20" i="1"/>
  <c r="Q21" i="1"/>
  <c r="Q27" i="1"/>
  <c r="Q32" i="1"/>
  <c r="Q33" i="1"/>
  <c r="Q34" i="1"/>
  <c r="Q35" i="1"/>
  <c r="Q36" i="1"/>
  <c r="Q37" i="1"/>
  <c r="Q38" i="1"/>
  <c r="Q9" i="1"/>
  <c r="P8" i="1"/>
  <c r="H31" i="1"/>
  <c r="G31" i="1"/>
  <c r="I30" i="1"/>
  <c r="H30" i="1"/>
  <c r="G30" i="1"/>
  <c r="J29" i="1"/>
  <c r="I29" i="1"/>
  <c r="H29" i="1"/>
  <c r="G29" i="1"/>
  <c r="I28" i="1"/>
  <c r="H28" i="1"/>
  <c r="G28" i="1"/>
  <c r="Q28" i="1" s="1"/>
  <c r="J26" i="1"/>
  <c r="I26" i="1"/>
  <c r="H26" i="1"/>
  <c r="G26" i="1"/>
  <c r="Q26" i="1" s="1"/>
  <c r="I25" i="1"/>
  <c r="Q25" i="1" s="1"/>
  <c r="I24" i="1"/>
  <c r="E24" i="1"/>
  <c r="I23" i="1"/>
  <c r="H23" i="1"/>
  <c r="G23" i="1"/>
  <c r="E23" i="1"/>
  <c r="I22" i="1"/>
  <c r="Q22" i="1" s="1"/>
  <c r="J18" i="1"/>
  <c r="I18" i="1"/>
  <c r="H18" i="1"/>
  <c r="G18" i="1"/>
  <c r="E18" i="1"/>
  <c r="I17" i="1"/>
  <c r="H17" i="1"/>
  <c r="G17" i="1"/>
  <c r="E17" i="1"/>
  <c r="I16" i="1"/>
  <c r="H16" i="1"/>
  <c r="G16" i="1"/>
  <c r="Q16" i="1" s="1"/>
  <c r="I14" i="1"/>
  <c r="H14" i="1"/>
  <c r="G14" i="1"/>
  <c r="E14" i="1"/>
  <c r="Q14" i="1" s="1"/>
  <c r="I13" i="1"/>
  <c r="H13" i="1"/>
  <c r="E12" i="1"/>
  <c r="Q12" i="1" s="1"/>
  <c r="I10" i="1"/>
  <c r="I8" i="1" s="1"/>
  <c r="H10" i="1"/>
  <c r="G10" i="1"/>
  <c r="E10" i="1"/>
  <c r="O8" i="1"/>
  <c r="N8" i="1"/>
  <c r="M8" i="1"/>
  <c r="L8" i="1"/>
  <c r="K8" i="1"/>
  <c r="F8" i="1"/>
  <c r="Q175" i="1" l="1"/>
  <c r="Q10" i="1"/>
  <c r="Q13" i="1"/>
  <c r="G8" i="1"/>
  <c r="Q17" i="1"/>
  <c r="Q18" i="1"/>
  <c r="Q23" i="1"/>
  <c r="Q24" i="1"/>
  <c r="Q29" i="1"/>
  <c r="Q30" i="1"/>
  <c r="Q31" i="1"/>
  <c r="E8" i="1"/>
  <c r="H8" i="1"/>
  <c r="J8" i="1"/>
  <c r="S8" i="1" l="1"/>
  <c r="S39" i="1"/>
  <c r="S42" i="1"/>
  <c r="S79" i="1"/>
  <c r="S81" i="1"/>
  <c r="S82" i="1"/>
  <c r="S85" i="1"/>
  <c r="S94" i="1"/>
  <c r="S95" i="1"/>
  <c r="S96" i="1"/>
  <c r="S97" i="1"/>
  <c r="S103" i="1"/>
  <c r="S112" i="1"/>
  <c r="S123" i="1"/>
  <c r="S124" i="1"/>
  <c r="S151" i="1"/>
  <c r="S154" i="1"/>
  <c r="S223" i="1"/>
  <c r="S228" i="1"/>
  <c r="S229" i="1"/>
  <c r="S230" i="1"/>
  <c r="S231" i="1"/>
  <c r="S232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R8" i="1"/>
  <c r="R39" i="1"/>
  <c r="R42" i="1"/>
  <c r="R79" i="1"/>
  <c r="R81" i="1"/>
  <c r="R82" i="1"/>
  <c r="R85" i="1"/>
  <c r="R94" i="1"/>
  <c r="R95" i="1"/>
  <c r="R96" i="1"/>
  <c r="R97" i="1"/>
  <c r="R103" i="1"/>
  <c r="R112" i="1"/>
  <c r="R123" i="1"/>
  <c r="R124" i="1"/>
  <c r="R151" i="1"/>
  <c r="R154" i="1"/>
  <c r="R223" i="1"/>
  <c r="R228" i="1"/>
  <c r="R229" i="1"/>
  <c r="R230" i="1"/>
  <c r="R231" i="1"/>
  <c r="R232" i="1"/>
  <c r="R236" i="1"/>
  <c r="R237" i="1"/>
  <c r="R238" i="1"/>
  <c r="R239" i="1"/>
  <c r="R240" i="1"/>
  <c r="R241" i="1"/>
  <c r="R242" i="1"/>
  <c r="R243" i="1"/>
  <c r="R244" i="1"/>
  <c r="R245" i="1"/>
  <c r="R246" i="1"/>
  <c r="R247" i="1"/>
</calcChain>
</file>

<file path=xl/sharedStrings.xml><?xml version="1.0" encoding="utf-8"?>
<sst xmlns="http://schemas.openxmlformats.org/spreadsheetml/2006/main" count="300" uniqueCount="266">
  <si>
    <t>Станом на 05.01.2022</t>
  </si>
  <si>
    <t>Аналіз виконання плану по доходах</t>
  </si>
  <si>
    <t>На 30.12.2021</t>
  </si>
  <si>
    <t>грн.</t>
  </si>
  <si>
    <t>ККД</t>
  </si>
  <si>
    <t>Доходи</t>
  </si>
  <si>
    <t xml:space="preserve"> Уточ.пл. 
з 1 по 12 міс.</t>
  </si>
  <si>
    <t>Факт</t>
  </si>
  <si>
    <t>+/-</t>
  </si>
  <si>
    <t>% викон.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</si>
  <si>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</si>
  <si>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</si>
  <si>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</si>
  <si>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</si>
  <si>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</si>
  <si>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</si>
  <si>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11020200</t>
  </si>
  <si>
    <t>Податок на прибуток підприємств та фінансових установ комунальної власності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</si>
  <si>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</si>
  <si>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</si>
  <si>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</si>
  <si>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</si>
  <si>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14040000</t>
  </si>
  <si>
    <t>Акцизний податок з реалізації суб`єктами господарювання роздрібної торгівлі підакцизних товарів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</si>
  <si>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</si>
  <si>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</si>
  <si>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</si>
  <si>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</si>
  <si>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</si>
  <si>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</si>
  <si>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</si>
  <si>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</si>
  <si>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</si>
  <si>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</si>
  <si>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</si>
  <si>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</si>
  <si>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</si>
  <si>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</si>
  <si>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</si>
  <si>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</si>
  <si>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</si>
  <si>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</si>
  <si>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</si>
  <si>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</si>
  <si>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</si>
  <si>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</si>
  <si>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21081100</t>
  </si>
  <si>
    <t>Адміністративні штрафи та інші санкції 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</si>
  <si>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</si>
  <si>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</si>
  <si>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</si>
  <si>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</si>
  <si>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</si>
  <si>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</si>
  <si>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</si>
  <si>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</si>
  <si>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</si>
  <si>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</si>
  <si>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</si>
  <si>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</si>
  <si>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41020100</t>
  </si>
  <si>
    <t>Базова дотація </t>
  </si>
  <si>
    <t>41033900</t>
  </si>
  <si>
    <t>Освітня субвенція з державного бюджету місцевим бюджетам 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</si>
  <si>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</si>
  <si>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</si>
  <si>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</si>
  <si>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</si>
  <si>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41040500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</si>
  <si>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</si>
  <si>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</si>
  <si>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</si>
  <si>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</si>
  <si>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</si>
  <si>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</si>
  <si>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</si>
  <si>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</si>
  <si>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</si>
  <si>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</si>
  <si>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</si>
  <si>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</si>
  <si>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</si>
  <si>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</si>
  <si>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</si>
  <si>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</si>
  <si>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</si>
  <si>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</si>
  <si>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</si>
  <si>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</si>
  <si>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</si>
  <si>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КНП "Заставнівська багатопрофільна лікарня"</t>
  </si>
  <si>
    <t>Кострижівський КБМ ТОВ</t>
  </si>
  <si>
    <t>ПАТ " КОСТРИЖІВСЬКИЙ КБМ"</t>
  </si>
  <si>
    <t>ТОВ "Буковина Геліос 1"</t>
  </si>
  <si>
    <t>ПП Західний Буг"</t>
  </si>
  <si>
    <t>Філія "Львівська залізниця" ПАТ "Укрзалізниця"</t>
  </si>
  <si>
    <t>ФОП Саргош Л.С.</t>
  </si>
  <si>
    <t>Кострижівське УЖКГ</t>
  </si>
  <si>
    <t>Кострижівська селищна рада</t>
  </si>
  <si>
    <t>КП ВКФ "ВАД"</t>
  </si>
  <si>
    <t>ФОП Саргош О.В.</t>
  </si>
  <si>
    <t xml:space="preserve">ФОП ХОМИН М.Л. </t>
  </si>
  <si>
    <t>ЦЕРКВА РІЗДВА ПР. БОГОРОДИЦІ С. ЗВЕНЯЧИН</t>
  </si>
  <si>
    <t>ДП"ДОСЛІДНЕ ГОСП-ВО ПРИДНІСТ.ДОСЛІД. С</t>
  </si>
  <si>
    <t>КНП"ВІКНЯНСЬКИЙ ЦЕНТР ПМСД"</t>
  </si>
  <si>
    <t>ФОП Вешкiна Тетяна Володимирiвна</t>
  </si>
  <si>
    <t>ФОП Король Галина Юріївна</t>
  </si>
  <si>
    <t>КОСТРИЖIВСЬКЕ ССТ</t>
  </si>
  <si>
    <t>ЦЕРКВА К.П. Звенячин</t>
  </si>
  <si>
    <t xml:space="preserve">ФОП МАНЗЮК В.Ю. </t>
  </si>
  <si>
    <t>ТОВ "СП "Хрещатик-Агро"</t>
  </si>
  <si>
    <t>Фінвідділ Кострижівської селищної ради</t>
  </si>
  <si>
    <t>Заставнівська РДЛВМ</t>
  </si>
  <si>
    <t>АГРОЛIДЕР-ДНIСТЕР ФГ</t>
  </si>
  <si>
    <t>Данилюк Наталiя</t>
  </si>
  <si>
    <t>ФОП Саргош А.С.</t>
  </si>
  <si>
    <t>ФОП ГУЛЕЙ В.В.</t>
  </si>
  <si>
    <t>ФОП Берковська Iлона Дмитрiвна</t>
  </si>
  <si>
    <t>ПП "ЕНЕРГОБУД КОМФОРТ"</t>
  </si>
  <si>
    <t>ПП "БЛАГОУСТРІЙ-К ПЛЮС"</t>
  </si>
  <si>
    <t>Грудень</t>
  </si>
  <si>
    <t>ТОВ "ЧОЕК"(Заставнівський  ЦОК )</t>
  </si>
  <si>
    <t>Бабалюк Лiдiя Євзибiївна</t>
  </si>
  <si>
    <t>перерахування невірно зарахованих коштів</t>
  </si>
  <si>
    <t>ФОП ЧЕРВОНЯК О.І.</t>
  </si>
  <si>
    <t xml:space="preserve">ФОП МАЛИННИК Р.В. </t>
  </si>
  <si>
    <t>ФОП КАПIЦЬКА Т.А.</t>
  </si>
  <si>
    <t>ФОП Саргош М.В.</t>
  </si>
  <si>
    <t>Боднараш Володимир Сергiйович</t>
  </si>
  <si>
    <t>ТОКАРЧУК О.Ф.</t>
  </si>
  <si>
    <t>Внутрішнє перекриття</t>
  </si>
  <si>
    <t>ВИННИК ВАСИЛЬ ІВАНОВИЧ</t>
  </si>
  <si>
    <t>Соколик Аурiка Iллiвна</t>
  </si>
  <si>
    <t>ФОКШЕК ТЕТЯНА ВАСИЛДІВНА</t>
  </si>
  <si>
    <t>Маліца М.С.</t>
  </si>
  <si>
    <t>Маліца В.В.</t>
  </si>
  <si>
    <t>Іванців С.І.</t>
  </si>
  <si>
    <t>Іванців М.С.</t>
  </si>
  <si>
    <t>ДОМНУШКІНА ЛЮДМИЛА</t>
  </si>
  <si>
    <t>ДИМКА ВАСИЛЬ МИХАЙЛОВИЧ</t>
  </si>
  <si>
    <t>КОЗАЧУК МИХАЙЛО ПЕТРОВИЧ</t>
  </si>
  <si>
    <t>ШЕВЧУК ВАЛЕРІЙ МИКОЛАЙОВИЧ</t>
  </si>
  <si>
    <t xml:space="preserve">ДУБКОВЕЦЬКИЙ МИКОЛА МИКОЛАЙОВИЧ </t>
  </si>
  <si>
    <t>Малинник Микола Манолiйович</t>
  </si>
  <si>
    <t>ГАРКОТ ІВАН ПАНАСОВИЧ</t>
  </si>
  <si>
    <t>ГУЦУЛ РУСЛАН IВАНОВИЧ</t>
  </si>
  <si>
    <t>Гороховська Корнелiя Дмитрiвна</t>
  </si>
  <si>
    <t>Лобач Ганна Iванiвна</t>
  </si>
  <si>
    <t>Гороховська Свiтлана Дмитрiвна</t>
  </si>
  <si>
    <t>Гороховський Вiктор Васильович</t>
  </si>
  <si>
    <t>РОГОЖИНСЬКИЙ ОЛЕКСАНДР ОЛЕКСАНДРОВИЧ</t>
  </si>
  <si>
    <t>ТРЕПЕТА МИКОЛА ІВАНОВИЧ</t>
  </si>
  <si>
    <t>Гулейчук Леся Григорiвна</t>
  </si>
  <si>
    <t>Шклярик Роман Георгійович</t>
  </si>
  <si>
    <t>БАЙДЮК СЕРГIЙ ПАВЛОВИЧ</t>
  </si>
  <si>
    <t>ФОП УГРИНЧУК ОЛЕКСАНДР ЯРОСЛАВОВИЧ</t>
  </si>
  <si>
    <t>ФОП Гожда Л.І.</t>
  </si>
  <si>
    <t>ФОП Червоняк О.І.</t>
  </si>
  <si>
    <t>ФОП МАЛІЦА МАРИНА СТЕРАНІВНА</t>
  </si>
  <si>
    <t>ФОП Бабалюк Лiдiя Євзибiївна</t>
  </si>
  <si>
    <t>АТ "УКРПОШТА"</t>
  </si>
  <si>
    <t>АТ "ЧЕРНІВЦІОБЛЕНЕРГО"</t>
  </si>
  <si>
    <t>ТзОВ"КОСТРИЖІВСЬКИЙ КОМБІНАТ БУДІВ</t>
  </si>
  <si>
    <t>Внутрішнє перекриття 6 класом</t>
  </si>
  <si>
    <t>ДП "ЧЕРНІВЕЦЬКИЙ ЛІСГОСП"</t>
  </si>
  <si>
    <t>АТ "УКРАЇНСЬКА ЗАЛІЗНИЦЯ"</t>
  </si>
  <si>
    <t>Заставнівське державне спеціалізоване</t>
  </si>
  <si>
    <t>ПАТ "УКРТЕЛЕКОМ"</t>
  </si>
  <si>
    <t>ХРЕЩАТИК, ЦУКРОВИЙ КОМБIНАТ, ТОВ</t>
  </si>
  <si>
    <t>"АТ"ЧЕРНІВЕЦЬКИЙ ХЛІБОКОМБІНАТ""</t>
  </si>
  <si>
    <t>ПрАТ "ВФ Україна"</t>
  </si>
  <si>
    <t>ПП "Західний Буг"</t>
  </si>
  <si>
    <t>Спіжавка І.М.</t>
  </si>
  <si>
    <t xml:space="preserve">Москалюк </t>
  </si>
  <si>
    <t>КТ099556</t>
  </si>
  <si>
    <t>БОГАЧОВ ДМИТРО ПАВЛОВИЧ</t>
  </si>
  <si>
    <t>Левчук Василь Іванович</t>
  </si>
  <si>
    <t>Токарчук Борис Юрiйович</t>
  </si>
  <si>
    <t>ЧЕРВОНЯК НАТАЛІЯ ВАСИЛІВНА</t>
  </si>
  <si>
    <t>Гирилюк Степан Петрович</t>
  </si>
  <si>
    <t>Василович Володимир Зiновiйович</t>
  </si>
  <si>
    <t xml:space="preserve"> Король Іван Іванович</t>
  </si>
  <si>
    <t>ДУДНЯК СТЕПАН МИКОЛАЙОВИЧ</t>
  </si>
  <si>
    <t xml:space="preserve">ПІТИК ПЕТРО ПЕТРОВИЧ </t>
  </si>
  <si>
    <t>ВАСІЛЬЄВ ЮРІЙ БОРИСОВИЧ</t>
  </si>
  <si>
    <t>Червiнко Iван Iванович</t>
  </si>
  <si>
    <t>Филипчук Юрiй Георгiйович</t>
  </si>
  <si>
    <t>Тяско Володимир Михайлович</t>
  </si>
  <si>
    <t>ФОП Кузик Олександр Бориславович</t>
  </si>
  <si>
    <t>Шкiльнюк Галина Борисiвна</t>
  </si>
  <si>
    <t>КР046806</t>
  </si>
  <si>
    <t>Ільчук Тетяна Іванівна</t>
  </si>
  <si>
    <t>Сімчук Віктор Іванович</t>
  </si>
  <si>
    <t>Маліца Віктор Васильович</t>
  </si>
  <si>
    <t>Іванців Марія Степанівна</t>
  </si>
  <si>
    <t>ГУЦУЛ ІВАН ПЕТРОВИЧ</t>
  </si>
  <si>
    <t>ВАРЛАН СЕРГІЙ ВАСИЛЬОВИЧ</t>
  </si>
  <si>
    <t xml:space="preserve"> ТРЕПЕТА МИКОЛА ІВАНОВИЧ</t>
  </si>
  <si>
    <t>"Наша Надiя"</t>
  </si>
  <si>
    <t>ФОП Пилипюк Н.І.</t>
  </si>
  <si>
    <t>ФОП Загарія В.І.</t>
  </si>
  <si>
    <t>ФОП Капіцкий І.Д.</t>
  </si>
  <si>
    <t>ФОП Іванців С.С.</t>
  </si>
  <si>
    <t>ФОП Берковська І.Д.</t>
  </si>
  <si>
    <t>ФОП Гороховський Степан Вiкторович</t>
  </si>
  <si>
    <t>ФОП Андронік О.Ф.</t>
  </si>
  <si>
    <t>ФОП Сіра Н.І.</t>
  </si>
  <si>
    <t>ФОП Козарійчук О.В.</t>
  </si>
  <si>
    <t>ФОП Никифорчук Л.Б.</t>
  </si>
  <si>
    <t>ФОП Попова Iрина Андрiївна</t>
  </si>
  <si>
    <t>ФОП Сіньков Артьом Олегович</t>
  </si>
  <si>
    <t>ФОП ЦЮПА ГАННА ІВАНІВНА</t>
  </si>
  <si>
    <t>ФОП Григорович Наталiя Юрiївна</t>
  </si>
  <si>
    <t>ФОП Проданик Христина Богданівна</t>
  </si>
  <si>
    <t>ФОП Фостій В.М.</t>
  </si>
  <si>
    <t>ФОП Фостій Я.</t>
  </si>
  <si>
    <t>ФОП ІВАШКО СВІТЛАНА ВАСИЛІВНА</t>
  </si>
  <si>
    <t>ФОП Говда Людмила Iванiвна</t>
  </si>
  <si>
    <t>ФОП БОРДIЯН В.М.</t>
  </si>
  <si>
    <t>ФОП Купер Свiтлана Борисiвна</t>
  </si>
  <si>
    <t xml:space="preserve">ФОП ПРИЙМАК Д.Р. </t>
  </si>
  <si>
    <t>ФОП Томнік Олександр Вікторович</t>
  </si>
  <si>
    <t>ФОП Гоголь Н.І.</t>
  </si>
  <si>
    <t>ФОП ГРЕКУЛ ГАЛИНА IВАНIВНА</t>
  </si>
  <si>
    <t>ФОП ГУЦУЛ ІВАН ПЕТРОВИЧ</t>
  </si>
  <si>
    <t>КР249766</t>
  </si>
  <si>
    <t>ФОП Вакарюк М.Ф.</t>
  </si>
  <si>
    <t>ФОП Купер А.Ю.</t>
  </si>
  <si>
    <t>ФОП КРАСНОКУТСЬКИЙ О. С.</t>
  </si>
  <si>
    <t>ФОП Гулей Анатолій Васильович</t>
  </si>
  <si>
    <t>ФОП Юзифович Аліна Іванівна</t>
  </si>
  <si>
    <t>ФОП Гирилюк Степан Петрович</t>
  </si>
  <si>
    <t>ФОП Филипчук Віктор Миколайович</t>
  </si>
  <si>
    <t>ФОП Шкільнюк Г.Б.</t>
  </si>
  <si>
    <t>ФОП Завацький С.В.</t>
  </si>
  <si>
    <t>ФОП ЛЕМЧИК МИКОЛА МИХАЙЛОВИЧ</t>
  </si>
  <si>
    <t>ФОП ОСТАПОВИЧ СВІТЛАНА РОМАНІВНА</t>
  </si>
  <si>
    <t>ФОП Ткачук Мирослава Василiвна</t>
  </si>
  <si>
    <t>ФОП БОЙКО МАРIЯ ЮРIЇВНА</t>
  </si>
  <si>
    <t>ФОП Іванчук М.П.</t>
  </si>
  <si>
    <t>ФОП Радик Іван Васильович</t>
  </si>
  <si>
    <t>ФОП Баранецька Тетяна Ярославiвна</t>
  </si>
  <si>
    <t>ФОП Казимірик Галина Василівна</t>
  </si>
  <si>
    <t>ФОП Гулей Василь Васильович</t>
  </si>
  <si>
    <t>ФОП Горюк Ігор Михайлович</t>
  </si>
  <si>
    <t>ФОП Янчик Віктор Юрійович</t>
  </si>
  <si>
    <t>ФОП Лобач ВIКТОР IВАНОВИЧ</t>
  </si>
  <si>
    <t xml:space="preserve">ФОП МАНЗЮК Ю.М. </t>
  </si>
  <si>
    <t xml:space="preserve">ФОП МАНЗЮК М.В. </t>
  </si>
  <si>
    <t>ФОП Данилюк Олександр Борисович</t>
  </si>
  <si>
    <t>ФОП Радик Руслана Володимирiвна</t>
  </si>
  <si>
    <t>ФОП Акімова Іванна Вікторівна</t>
  </si>
  <si>
    <t>ФОП Васильєва Ганна Андрiївна</t>
  </si>
  <si>
    <t>ФОП РАДИК ВОЛОДИМИР ВАСИЛЬОВИЧ</t>
  </si>
  <si>
    <t>ФОП Мельничук Світлана Андріївна</t>
  </si>
  <si>
    <t>ФОП РАДИК ВАСИЛЬ ВАСИЛЬОВИЧ</t>
  </si>
  <si>
    <t xml:space="preserve">ФОП ЛОБАЧ Л.М. </t>
  </si>
  <si>
    <t xml:space="preserve">ФОП ЗАВАЦЬКИЙ М.В. </t>
  </si>
  <si>
    <t xml:space="preserve"> ФОП Фантух Н.В.</t>
  </si>
  <si>
    <t>ФОП АКІМОВ МИКОЛА ВІКТОРОВИЧ</t>
  </si>
  <si>
    <t>ФОП ТРЕПЕТА МИКОЛА ІВАНОВИЧ</t>
  </si>
  <si>
    <t>ФОП Калинюк Олександр Дмитрович</t>
  </si>
  <si>
    <t>ФГ  Книш Ігор Ярославович</t>
  </si>
  <si>
    <t>ТВБВ №10025/0131 АТ "Ощадбанк"</t>
  </si>
  <si>
    <t>ПрАТ "Київстар"</t>
  </si>
  <si>
    <t>ЧЕРНІВЕЦЬКА ФІЛІЯ ПАТ "УКРТЕЛЕКОМ"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</si>
</sst>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wrapText="1"/>
    </xf>
    <xf numFmtId="4" fontId="1" fillId="0" borderId="0" xfId="0" applyNumberFormat="1" applyFont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164" fontId="5" fillId="0" borderId="1" xfId="0" applyNumberFormat="1" applyFont="1" applyBorder="1"/>
    <xf numFmtId="4" fontId="5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/>
    <xf numFmtId="4" fontId="5" fillId="0" borderId="0" xfId="0" applyNumberFormat="1" applyFont="1"/>
    <xf numFmtId="4" fontId="4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0" xfId="0" applyNumberFormat="1" applyFont="1"/>
    <xf numFmtId="4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/>
    </xf>
    <xf numFmtId="0" fontId="5" fillId="0" borderId="0" xfId="0" applyFont="1"/>
    <xf numFmtId="16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/>
    <xf numFmtId="4" fontId="4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/>
    <xf numFmtId="4" fontId="1" fillId="3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28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93;&#1086;&#1076;&#1080;%20&#1083;&#1080;&#1089;&#1090;&#1086;&#1087;&#1072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7"/>
  <sheetViews>
    <sheetView tabSelected="1" topLeftCell="D240" zoomScale="80" zoomScaleNormal="80" workbookViewId="0">
      <selection activeCell="P251" sqref="P251"/>
    </sheetView>
  </sheetViews>
  <sheetFormatPr defaultRowHeight="15.75" x14ac:dyDescent="0.25"/>
  <cols>
    <col min="1" max="1" width="0" hidden="1" customWidth="1"/>
    <col min="2" max="2" width="13.7109375" customWidth="1"/>
    <col min="3" max="3" width="50.7109375" style="7" customWidth="1"/>
    <col min="4" max="4" width="13.42578125" style="5" customWidth="1"/>
    <col min="5" max="15" width="16" style="5" customWidth="1"/>
    <col min="16" max="16" width="16" style="25" customWidth="1"/>
    <col min="17" max="17" width="15.5703125" style="28" bestFit="1" customWidth="1"/>
    <col min="18" max="18" width="11.28515625" style="5" customWidth="1"/>
    <col min="19" max="19" width="9.28515625" style="5" bestFit="1" customWidth="1"/>
  </cols>
  <sheetData>
    <row r="1" spans="1:19" x14ac:dyDescent="0.25">
      <c r="B1" t="s">
        <v>0</v>
      </c>
    </row>
    <row r="2" spans="1:19" x14ac:dyDescent="0.25">
      <c r="B2" s="1"/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26"/>
      <c r="Q2" s="26"/>
      <c r="R2" s="6"/>
      <c r="S2" s="6"/>
    </row>
    <row r="3" spans="1:19" ht="23.25" x14ac:dyDescent="0.35">
      <c r="B3" s="2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x14ac:dyDescent="0.25">
      <c r="B4" s="1"/>
      <c r="C4" s="8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26"/>
      <c r="Q4" s="26"/>
      <c r="R4" s="6"/>
      <c r="S4" s="6"/>
    </row>
    <row r="5" spans="1:19" ht="18.75" x14ac:dyDescent="0.3">
      <c r="B5" s="4" t="s">
        <v>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x14ac:dyDescent="0.25">
      <c r="S6" s="5" t="s">
        <v>3</v>
      </c>
    </row>
    <row r="7" spans="1:19" ht="28.5" customHeight="1" x14ac:dyDescent="0.2">
      <c r="A7" s="9"/>
      <c r="B7" s="10" t="s">
        <v>4</v>
      </c>
      <c r="C7" s="11" t="s">
        <v>5</v>
      </c>
      <c r="D7" s="11" t="s">
        <v>6</v>
      </c>
      <c r="E7" s="17" t="s">
        <v>79</v>
      </c>
      <c r="F7" s="17" t="s">
        <v>80</v>
      </c>
      <c r="G7" s="17" t="s">
        <v>81</v>
      </c>
      <c r="H7" s="17" t="s">
        <v>82</v>
      </c>
      <c r="I7" s="17" t="s">
        <v>83</v>
      </c>
      <c r="J7" s="17" t="s">
        <v>84</v>
      </c>
      <c r="K7" s="17" t="s">
        <v>85</v>
      </c>
      <c r="L7" s="17" t="s">
        <v>86</v>
      </c>
      <c r="M7" s="17" t="s">
        <v>87</v>
      </c>
      <c r="N7" s="17" t="s">
        <v>88</v>
      </c>
      <c r="O7" s="17" t="s">
        <v>89</v>
      </c>
      <c r="P7" s="17" t="s">
        <v>120</v>
      </c>
      <c r="Q7" s="27" t="s">
        <v>7</v>
      </c>
      <c r="R7" s="12" t="s">
        <v>8</v>
      </c>
      <c r="S7" s="12" t="s">
        <v>9</v>
      </c>
    </row>
    <row r="8" spans="1:19" ht="38.25" x14ac:dyDescent="0.25">
      <c r="A8" s="13">
        <v>0</v>
      </c>
      <c r="B8" s="13" t="s">
        <v>10</v>
      </c>
      <c r="C8" s="14" t="s">
        <v>11</v>
      </c>
      <c r="D8" s="15">
        <v>3500000</v>
      </c>
      <c r="E8" s="18">
        <f t="shared" ref="E8:P8" si="0">SUM(E9:E38)</f>
        <v>269607.92000000004</v>
      </c>
      <c r="F8" s="18">
        <f t="shared" si="0"/>
        <v>266199.3</v>
      </c>
      <c r="G8" s="18">
        <f t="shared" si="0"/>
        <v>274519.54000000004</v>
      </c>
      <c r="H8" s="18">
        <f t="shared" si="0"/>
        <v>274412.24999999994</v>
      </c>
      <c r="I8" s="18">
        <f t="shared" si="0"/>
        <v>284932.42000000004</v>
      </c>
      <c r="J8" s="18">
        <f t="shared" si="0"/>
        <v>450291.8000000001</v>
      </c>
      <c r="K8" s="18">
        <f t="shared" si="0"/>
        <v>247377.46</v>
      </c>
      <c r="L8" s="18">
        <f t="shared" si="0"/>
        <v>224212.25</v>
      </c>
      <c r="M8" s="18">
        <f t="shared" si="0"/>
        <v>261719.63999999998</v>
      </c>
      <c r="N8" s="18">
        <f t="shared" si="0"/>
        <v>276644.99000000005</v>
      </c>
      <c r="O8" s="18">
        <f t="shared" si="0"/>
        <v>290181.62</v>
      </c>
      <c r="P8" s="18">
        <f t="shared" si="0"/>
        <v>468523.98</v>
      </c>
      <c r="Q8" s="29">
        <v>3588623.17</v>
      </c>
      <c r="R8" s="16">
        <f t="shared" ref="R8:R247" si="1">Q8-D8</f>
        <v>88623.169999999925</v>
      </c>
      <c r="S8" s="16">
        <f t="shared" ref="S8:S247" si="2">IF(D8=0,0,Q8/D8*100)</f>
        <v>102.53209057142858</v>
      </c>
    </row>
    <row r="9" spans="1:19" x14ac:dyDescent="0.25">
      <c r="A9" s="13"/>
      <c r="B9" s="19">
        <v>2005711</v>
      </c>
      <c r="C9" s="20" t="s">
        <v>90</v>
      </c>
      <c r="D9" s="15"/>
      <c r="E9" s="22">
        <v>6838.1</v>
      </c>
      <c r="F9" s="22">
        <v>8907.6200000000008</v>
      </c>
      <c r="G9" s="22">
        <v>0</v>
      </c>
      <c r="H9" s="22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2">
        <v>0</v>
      </c>
      <c r="P9" s="22">
        <v>0</v>
      </c>
      <c r="Q9" s="29">
        <f>SUM(E9:P9)</f>
        <v>15745.720000000001</v>
      </c>
      <c r="R9" s="16"/>
      <c r="S9" s="16"/>
    </row>
    <row r="10" spans="1:19" x14ac:dyDescent="0.25">
      <c r="A10" s="13"/>
      <c r="B10" s="19">
        <v>33108815</v>
      </c>
      <c r="C10" s="20" t="s">
        <v>91</v>
      </c>
      <c r="D10" s="15"/>
      <c r="E10" s="22">
        <f>579.83+531.67+449.39</f>
        <v>1560.8899999999999</v>
      </c>
      <c r="F10" s="22">
        <v>11037.53</v>
      </c>
      <c r="G10" s="22">
        <f>486+4893.89+5347.4+1440</f>
        <v>12167.29</v>
      </c>
      <c r="H10" s="22">
        <f>5413.02+5493.73+847.8+502.2</f>
        <v>12256.75</v>
      </c>
      <c r="I10" s="23">
        <f>5001.84+5178.71</f>
        <v>10180.549999999999</v>
      </c>
      <c r="J10" s="23">
        <v>12638.36</v>
      </c>
      <c r="K10" s="23">
        <v>14570.81</v>
      </c>
      <c r="L10" s="23">
        <v>11738.12</v>
      </c>
      <c r="M10" s="23">
        <v>11024.9</v>
      </c>
      <c r="N10" s="23">
        <v>11271.47</v>
      </c>
      <c r="O10" s="22">
        <v>9209.65</v>
      </c>
      <c r="P10" s="23">
        <v>9940.5</v>
      </c>
      <c r="Q10" s="29">
        <f t="shared" ref="Q10:Q38" si="3">SUM(E10:P10)</f>
        <v>127596.81999999998</v>
      </c>
      <c r="R10" s="16"/>
      <c r="S10" s="16"/>
    </row>
    <row r="11" spans="1:19" x14ac:dyDescent="0.25">
      <c r="A11" s="13"/>
      <c r="B11" s="19">
        <v>5383282</v>
      </c>
      <c r="C11" s="20" t="s">
        <v>92</v>
      </c>
      <c r="D11" s="15"/>
      <c r="E11" s="22">
        <v>118460.69</v>
      </c>
      <c r="F11" s="22">
        <v>0</v>
      </c>
      <c r="G11" s="22">
        <v>3300</v>
      </c>
      <c r="H11" s="22">
        <v>1230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2">
        <v>0</v>
      </c>
      <c r="P11" s="22">
        <v>0</v>
      </c>
      <c r="Q11" s="29">
        <f t="shared" si="3"/>
        <v>122990.69</v>
      </c>
      <c r="R11" s="16"/>
      <c r="S11" s="16"/>
    </row>
    <row r="12" spans="1:19" x14ac:dyDescent="0.25">
      <c r="A12" s="13"/>
      <c r="B12" s="19">
        <v>40510715</v>
      </c>
      <c r="C12" s="20" t="s">
        <v>93</v>
      </c>
      <c r="D12" s="15"/>
      <c r="E12" s="22">
        <f>3.13+2.56</f>
        <v>5.6899999999999995</v>
      </c>
      <c r="F12" s="22">
        <v>1.7</v>
      </c>
      <c r="G12" s="22">
        <v>4.08</v>
      </c>
      <c r="H12" s="22">
        <v>3.7</v>
      </c>
      <c r="I12" s="23">
        <v>3.73</v>
      </c>
      <c r="J12" s="23">
        <v>4.53</v>
      </c>
      <c r="K12" s="23">
        <v>4.08</v>
      </c>
      <c r="L12" s="23">
        <v>3.71</v>
      </c>
      <c r="M12" s="23">
        <v>3.91</v>
      </c>
      <c r="N12" s="23">
        <v>5.49</v>
      </c>
      <c r="O12" s="22">
        <v>4.1100000000000003</v>
      </c>
      <c r="P12" s="23">
        <v>8.0500000000000007</v>
      </c>
      <c r="Q12" s="29">
        <f t="shared" si="3"/>
        <v>52.78</v>
      </c>
      <c r="R12" s="16"/>
      <c r="S12" s="16"/>
    </row>
    <row r="13" spans="1:19" x14ac:dyDescent="0.25">
      <c r="A13" s="13"/>
      <c r="B13" s="19">
        <v>32478033</v>
      </c>
      <c r="C13" s="20" t="s">
        <v>94</v>
      </c>
      <c r="D13" s="15"/>
      <c r="E13" s="22">
        <v>8856.1299999999992</v>
      </c>
      <c r="F13" s="22">
        <v>0</v>
      </c>
      <c r="G13" s="22">
        <v>5277.86</v>
      </c>
      <c r="H13" s="22">
        <f>8037.47+795.77+141.8+5959.9</f>
        <v>14934.939999999999</v>
      </c>
      <c r="I13" s="23">
        <f>11226.26+6283.87</f>
        <v>17510.13</v>
      </c>
      <c r="J13" s="23">
        <v>27081.07</v>
      </c>
      <c r="K13" s="23">
        <v>15676.01</v>
      </c>
      <c r="L13" s="23">
        <v>15510.59</v>
      </c>
      <c r="M13" s="23">
        <v>16300.63</v>
      </c>
      <c r="N13" s="23">
        <v>20503.96</v>
      </c>
      <c r="O13" s="22">
        <v>19251.41</v>
      </c>
      <c r="P13" s="23">
        <v>18165.830000000002</v>
      </c>
      <c r="Q13" s="29">
        <f t="shared" si="3"/>
        <v>179068.56</v>
      </c>
      <c r="R13" s="16"/>
      <c r="S13" s="16"/>
    </row>
    <row r="14" spans="1:19" ht="31.5" x14ac:dyDescent="0.25">
      <c r="A14" s="13"/>
      <c r="B14" s="21">
        <v>40081195</v>
      </c>
      <c r="C14" s="20" t="s">
        <v>95</v>
      </c>
      <c r="D14" s="15"/>
      <c r="E14" s="22">
        <f>23251.37+7800</f>
        <v>31051.37</v>
      </c>
      <c r="F14" s="22">
        <v>23347.49</v>
      </c>
      <c r="G14" s="22">
        <f>16138.12+7200</f>
        <v>23338.120000000003</v>
      </c>
      <c r="H14" s="22">
        <f>327.46+10724.7+6600+175.04</f>
        <v>17827.2</v>
      </c>
      <c r="I14" s="24">
        <f>15140.1+7200</f>
        <v>22340.1</v>
      </c>
      <c r="J14" s="24">
        <v>26818.51</v>
      </c>
      <c r="K14" s="23">
        <v>23056.06</v>
      </c>
      <c r="L14" s="23">
        <v>25787.84</v>
      </c>
      <c r="M14" s="23">
        <v>26103.45</v>
      </c>
      <c r="N14" s="23">
        <v>21808.58</v>
      </c>
      <c r="O14" s="22">
        <v>23689.35</v>
      </c>
      <c r="P14" s="23">
        <v>52189.08</v>
      </c>
      <c r="Q14" s="29">
        <f t="shared" si="3"/>
        <v>317357.15000000002</v>
      </c>
      <c r="R14" s="16"/>
      <c r="S14" s="16"/>
    </row>
    <row r="15" spans="1:19" x14ac:dyDescent="0.25">
      <c r="A15" s="13"/>
      <c r="B15" s="19">
        <v>2008992928</v>
      </c>
      <c r="C15" s="20" t="s">
        <v>96</v>
      </c>
      <c r="D15" s="15"/>
      <c r="E15" s="22">
        <v>648</v>
      </c>
      <c r="F15" s="22">
        <v>648</v>
      </c>
      <c r="G15" s="22">
        <v>648</v>
      </c>
      <c r="H15" s="22">
        <v>648</v>
      </c>
      <c r="I15" s="22">
        <v>648</v>
      </c>
      <c r="J15" s="23">
        <v>792</v>
      </c>
      <c r="K15" s="23">
        <v>648</v>
      </c>
      <c r="L15" s="23">
        <v>648</v>
      </c>
      <c r="M15" s="23">
        <v>648</v>
      </c>
      <c r="N15" s="23">
        <v>648</v>
      </c>
      <c r="O15" s="23">
        <v>648</v>
      </c>
      <c r="P15" s="23">
        <v>648</v>
      </c>
      <c r="Q15" s="29">
        <f t="shared" si="3"/>
        <v>7920</v>
      </c>
      <c r="R15" s="16"/>
      <c r="S15" s="16"/>
    </row>
    <row r="16" spans="1:19" x14ac:dyDescent="0.25">
      <c r="A16" s="13"/>
      <c r="B16" s="19">
        <v>30813029</v>
      </c>
      <c r="C16" s="20" t="s">
        <v>97</v>
      </c>
      <c r="D16" s="15"/>
      <c r="E16" s="22">
        <v>4665.6000000000004</v>
      </c>
      <c r="F16" s="22">
        <v>14129.68</v>
      </c>
      <c r="G16" s="22">
        <f>9360.74+5081.4</f>
        <v>14442.14</v>
      </c>
      <c r="H16" s="22">
        <f>9052.58+5081.4</f>
        <v>14133.98</v>
      </c>
      <c r="I16" s="23">
        <f>9045.24+5081.4</f>
        <v>14126.64</v>
      </c>
      <c r="J16" s="23">
        <v>14358.23</v>
      </c>
      <c r="K16" s="23">
        <v>15980.25</v>
      </c>
      <c r="L16" s="23">
        <v>13095.15</v>
      </c>
      <c r="M16" s="23">
        <v>14151.58</v>
      </c>
      <c r="N16" s="23">
        <v>14030.08</v>
      </c>
      <c r="O16" s="22">
        <v>13111.44</v>
      </c>
      <c r="P16" s="23">
        <v>23267.53</v>
      </c>
      <c r="Q16" s="29">
        <f t="shared" si="3"/>
        <v>169492.3</v>
      </c>
      <c r="R16" s="16"/>
      <c r="S16" s="16"/>
    </row>
    <row r="17" spans="1:19" x14ac:dyDescent="0.25">
      <c r="A17" s="13"/>
      <c r="B17" s="19">
        <v>4418185</v>
      </c>
      <c r="C17" s="20" t="s">
        <v>98</v>
      </c>
      <c r="D17" s="15"/>
      <c r="E17" s="22">
        <f>911.79+21545.11+31460.26+356.37</f>
        <v>54273.530000000006</v>
      </c>
      <c r="F17" s="22">
        <v>166762.07</v>
      </c>
      <c r="G17" s="22">
        <f>106615.07+62948.55+515.72</f>
        <v>170079.34</v>
      </c>
      <c r="H17" s="22">
        <f>105187.38+67278.28</f>
        <v>172465.66</v>
      </c>
      <c r="I17" s="23">
        <f>88541.19+14480.44+66778.94+986.81+813.1+517.81</f>
        <v>172118.29</v>
      </c>
      <c r="J17" s="23">
        <v>324519.21000000002</v>
      </c>
      <c r="K17" s="23">
        <v>104912.8</v>
      </c>
      <c r="L17" s="23">
        <v>100770.41</v>
      </c>
      <c r="M17" s="23">
        <v>135197.13</v>
      </c>
      <c r="N17" s="23">
        <v>154457.72</v>
      </c>
      <c r="O17" s="22">
        <v>154695.43</v>
      </c>
      <c r="P17" s="23">
        <v>280823.28000000003</v>
      </c>
      <c r="Q17" s="29">
        <f t="shared" si="3"/>
        <v>1991074.8699999999</v>
      </c>
      <c r="R17" s="16"/>
      <c r="S17" s="16"/>
    </row>
    <row r="18" spans="1:19" x14ac:dyDescent="0.25">
      <c r="A18" s="13"/>
      <c r="B18" s="19">
        <v>22844750</v>
      </c>
      <c r="C18" s="20" t="s">
        <v>99</v>
      </c>
      <c r="D18" s="15"/>
      <c r="E18" s="22">
        <f>912.6+1080+605.88</f>
        <v>2598.48</v>
      </c>
      <c r="F18" s="22">
        <v>1458</v>
      </c>
      <c r="G18" s="22">
        <f>729+729</f>
        <v>1458</v>
      </c>
      <c r="H18" s="22">
        <f>729+729</f>
        <v>1458</v>
      </c>
      <c r="I18" s="23">
        <f>729+729</f>
        <v>1458</v>
      </c>
      <c r="J18" s="23">
        <f>729+729</f>
        <v>1458</v>
      </c>
      <c r="K18" s="23">
        <v>1458</v>
      </c>
      <c r="L18" s="23">
        <v>1458</v>
      </c>
      <c r="M18" s="23">
        <v>1458</v>
      </c>
      <c r="N18" s="23">
        <v>1458</v>
      </c>
      <c r="O18" s="22">
        <v>2665.69</v>
      </c>
      <c r="P18" s="23">
        <v>1458</v>
      </c>
      <c r="Q18" s="29">
        <f t="shared" si="3"/>
        <v>19844.169999999998</v>
      </c>
      <c r="R18" s="16"/>
      <c r="S18" s="16"/>
    </row>
    <row r="19" spans="1:19" x14ac:dyDescent="0.25">
      <c r="A19" s="13"/>
      <c r="B19" s="19">
        <v>2909920966</v>
      </c>
      <c r="C19" s="20" t="s">
        <v>100</v>
      </c>
      <c r="D19" s="15"/>
      <c r="E19" s="22">
        <v>840</v>
      </c>
      <c r="F19" s="22">
        <v>1296</v>
      </c>
      <c r="G19" s="22">
        <v>1296</v>
      </c>
      <c r="H19" s="22">
        <v>1296</v>
      </c>
      <c r="I19" s="22">
        <v>1296</v>
      </c>
      <c r="J19" s="22">
        <v>1296</v>
      </c>
      <c r="K19" s="22">
        <v>1296</v>
      </c>
      <c r="L19" s="22">
        <v>1296</v>
      </c>
      <c r="M19" s="22">
        <v>1296</v>
      </c>
      <c r="N19" s="23">
        <v>648</v>
      </c>
      <c r="O19" s="23">
        <v>648</v>
      </c>
      <c r="P19" s="23">
        <v>1296</v>
      </c>
      <c r="Q19" s="29">
        <f t="shared" si="3"/>
        <v>13800</v>
      </c>
      <c r="R19" s="16"/>
      <c r="S19" s="16"/>
    </row>
    <row r="20" spans="1:19" x14ac:dyDescent="0.25">
      <c r="A20" s="13"/>
      <c r="B20" s="19">
        <v>2242904518</v>
      </c>
      <c r="C20" s="20" t="s">
        <v>101</v>
      </c>
      <c r="D20" s="15"/>
      <c r="E20" s="22">
        <v>3642.84</v>
      </c>
      <c r="F20" s="22">
        <v>3642.84</v>
      </c>
      <c r="G20" s="22">
        <v>3642.84</v>
      </c>
      <c r="H20" s="22">
        <v>3642.84</v>
      </c>
      <c r="I20" s="23">
        <v>3675.24</v>
      </c>
      <c r="J20" s="23">
        <v>3675.24</v>
      </c>
      <c r="K20" s="23">
        <v>3675.24</v>
      </c>
      <c r="L20" s="23">
        <v>3675.24</v>
      </c>
      <c r="M20" s="23">
        <v>3675.24</v>
      </c>
      <c r="N20" s="23">
        <v>3675.24</v>
      </c>
      <c r="O20" s="23">
        <v>3675.24</v>
      </c>
      <c r="P20" s="23">
        <v>3510</v>
      </c>
      <c r="Q20" s="29">
        <f t="shared" si="3"/>
        <v>43808.039999999986</v>
      </c>
      <c r="R20" s="16"/>
      <c r="S20" s="16"/>
    </row>
    <row r="21" spans="1:19" x14ac:dyDescent="0.25">
      <c r="A21" s="13"/>
      <c r="B21" s="19">
        <v>25075677</v>
      </c>
      <c r="C21" s="20" t="s">
        <v>102</v>
      </c>
      <c r="D21" s="15"/>
      <c r="E21" s="22">
        <v>9.77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3">
        <v>0</v>
      </c>
      <c r="L21" s="23">
        <v>0</v>
      </c>
      <c r="M21" s="23">
        <v>0</v>
      </c>
      <c r="N21" s="23">
        <v>0</v>
      </c>
      <c r="O21" s="22">
        <v>0</v>
      </c>
      <c r="P21" s="22">
        <v>0</v>
      </c>
      <c r="Q21" s="29">
        <f t="shared" si="3"/>
        <v>9.77</v>
      </c>
      <c r="R21" s="16"/>
      <c r="S21" s="16"/>
    </row>
    <row r="22" spans="1:19" x14ac:dyDescent="0.25">
      <c r="A22" s="13"/>
      <c r="B22" s="19">
        <v>32464984</v>
      </c>
      <c r="C22" s="20" t="s">
        <v>103</v>
      </c>
      <c r="D22" s="15"/>
      <c r="E22" s="22">
        <v>8608.7800000000007</v>
      </c>
      <c r="F22" s="22">
        <v>4952.5</v>
      </c>
      <c r="G22" s="22">
        <v>4980.09</v>
      </c>
      <c r="H22" s="22">
        <v>6099.21</v>
      </c>
      <c r="I22" s="23">
        <f>12416.18+1064.31</f>
        <v>13480.49</v>
      </c>
      <c r="J22" s="23">
        <v>0</v>
      </c>
      <c r="K22" s="23">
        <v>32949.599999999999</v>
      </c>
      <c r="L22" s="23">
        <v>20599.8</v>
      </c>
      <c r="M22" s="23">
        <v>17300.439999999999</v>
      </c>
      <c r="N22" s="23">
        <v>27684.06</v>
      </c>
      <c r="O22" s="22">
        <v>23023.200000000001</v>
      </c>
      <c r="P22" s="23">
        <v>25626.6</v>
      </c>
      <c r="Q22" s="29">
        <f t="shared" si="3"/>
        <v>185304.77000000002</v>
      </c>
      <c r="R22" s="16"/>
      <c r="S22" s="16"/>
    </row>
    <row r="23" spans="1:19" x14ac:dyDescent="0.25">
      <c r="A23" s="13"/>
      <c r="B23" s="19">
        <v>36752522</v>
      </c>
      <c r="C23" s="20" t="s">
        <v>104</v>
      </c>
      <c r="D23" s="15"/>
      <c r="E23" s="22">
        <f>1980+6839.61</f>
        <v>8819.61</v>
      </c>
      <c r="F23" s="22">
        <v>8666.6200000000008</v>
      </c>
      <c r="G23" s="22">
        <f>3600+5277.31</f>
        <v>8877.3100000000013</v>
      </c>
      <c r="H23" s="22">
        <f>3600+5177.33</f>
        <v>8777.33</v>
      </c>
      <c r="I23" s="23">
        <f>3000+4985.77</f>
        <v>7985.77</v>
      </c>
      <c r="J23" s="23">
        <v>12843.39</v>
      </c>
      <c r="K23" s="23">
        <v>9586.2199999999993</v>
      </c>
      <c r="L23" s="23">
        <v>12228.19</v>
      </c>
      <c r="M23" s="23">
        <v>9071.7999999999993</v>
      </c>
      <c r="N23" s="23">
        <v>3330</v>
      </c>
      <c r="O23" s="22">
        <v>17496.150000000001</v>
      </c>
      <c r="P23" s="23">
        <v>10894.17</v>
      </c>
      <c r="Q23" s="29">
        <f t="shared" si="3"/>
        <v>118576.56000000001</v>
      </c>
      <c r="R23" s="16"/>
      <c r="S23" s="16"/>
    </row>
    <row r="24" spans="1:19" x14ac:dyDescent="0.25">
      <c r="A24" s="13"/>
      <c r="B24" s="19">
        <v>3304309803</v>
      </c>
      <c r="C24" s="20" t="s">
        <v>105</v>
      </c>
      <c r="D24" s="15"/>
      <c r="E24" s="22">
        <f>1639.44+962.06</f>
        <v>2601.5</v>
      </c>
      <c r="F24" s="22">
        <v>2994.84</v>
      </c>
      <c r="G24" s="22">
        <v>2994.84</v>
      </c>
      <c r="H24" s="22">
        <v>2523.58</v>
      </c>
      <c r="I24" s="23">
        <f>520.66</f>
        <v>520.66</v>
      </c>
      <c r="J24" s="23">
        <v>2850.84</v>
      </c>
      <c r="K24" s="23">
        <v>2994.84</v>
      </c>
      <c r="L24" s="23">
        <v>2994.84</v>
      </c>
      <c r="M24" s="23">
        <v>2994.84</v>
      </c>
      <c r="N24" s="23">
        <v>2994.84</v>
      </c>
      <c r="O24" s="23">
        <v>2994.84</v>
      </c>
      <c r="P24" s="23">
        <v>2346.84</v>
      </c>
      <c r="Q24" s="29">
        <f t="shared" si="3"/>
        <v>31807.3</v>
      </c>
      <c r="R24" s="16"/>
      <c r="S24" s="16"/>
    </row>
    <row r="25" spans="1:19" x14ac:dyDescent="0.25">
      <c r="A25" s="13"/>
      <c r="B25" s="19">
        <v>2750003221</v>
      </c>
      <c r="C25" s="20" t="s">
        <v>106</v>
      </c>
      <c r="D25" s="15"/>
      <c r="E25" s="22">
        <v>5702.4</v>
      </c>
      <c r="F25" s="22">
        <v>6847.2</v>
      </c>
      <c r="G25" s="22">
        <v>7182</v>
      </c>
      <c r="H25" s="22">
        <v>7182</v>
      </c>
      <c r="I25" s="23">
        <f>7214.4</f>
        <v>7214.4</v>
      </c>
      <c r="J25" s="23">
        <v>7236</v>
      </c>
      <c r="K25" s="23">
        <v>7246.8</v>
      </c>
      <c r="L25" s="23">
        <v>7248.77</v>
      </c>
      <c r="M25" s="23">
        <v>7246.8</v>
      </c>
      <c r="N25" s="23">
        <v>7246.8</v>
      </c>
      <c r="O25" s="22">
        <v>7290</v>
      </c>
      <c r="P25" s="23">
        <v>8100</v>
      </c>
      <c r="Q25" s="29">
        <f t="shared" si="3"/>
        <v>85743.170000000013</v>
      </c>
      <c r="R25" s="16"/>
      <c r="S25" s="16"/>
    </row>
    <row r="26" spans="1:19" x14ac:dyDescent="0.25">
      <c r="A26" s="13"/>
      <c r="B26" s="19">
        <v>1707302</v>
      </c>
      <c r="C26" s="20" t="s">
        <v>107</v>
      </c>
      <c r="D26" s="15"/>
      <c r="E26" s="22">
        <v>360</v>
      </c>
      <c r="F26" s="22">
        <v>654</v>
      </c>
      <c r="G26" s="22">
        <f>294+360</f>
        <v>654</v>
      </c>
      <c r="H26" s="22">
        <f>294+360</f>
        <v>654</v>
      </c>
      <c r="I26" s="23">
        <f>294+360</f>
        <v>654</v>
      </c>
      <c r="J26" s="23">
        <f>294+360</f>
        <v>654</v>
      </c>
      <c r="K26" s="23">
        <v>1323.67</v>
      </c>
      <c r="L26" s="23">
        <v>301.8</v>
      </c>
      <c r="M26" s="23">
        <v>367.2</v>
      </c>
      <c r="N26" s="23">
        <v>620.4</v>
      </c>
      <c r="O26" s="22">
        <v>661.8</v>
      </c>
      <c r="P26" s="22">
        <v>661.8</v>
      </c>
      <c r="Q26" s="29">
        <f t="shared" si="3"/>
        <v>7566.67</v>
      </c>
      <c r="R26" s="16"/>
      <c r="S26" s="16"/>
    </row>
    <row r="27" spans="1:19" x14ac:dyDescent="0.25">
      <c r="A27" s="13"/>
      <c r="B27" s="19">
        <v>25075756</v>
      </c>
      <c r="C27" s="20" t="s">
        <v>108</v>
      </c>
      <c r="D27" s="15"/>
      <c r="E27" s="22">
        <v>540</v>
      </c>
      <c r="F27" s="22">
        <v>648</v>
      </c>
      <c r="G27" s="22">
        <v>648</v>
      </c>
      <c r="H27" s="22">
        <v>648</v>
      </c>
      <c r="I27" s="22">
        <v>648</v>
      </c>
      <c r="J27" s="22">
        <v>648</v>
      </c>
      <c r="K27" s="22">
        <v>648</v>
      </c>
      <c r="L27" s="22">
        <v>648</v>
      </c>
      <c r="M27" s="22">
        <v>648</v>
      </c>
      <c r="N27" s="22">
        <v>648</v>
      </c>
      <c r="O27" s="22">
        <v>648</v>
      </c>
      <c r="P27" s="22">
        <v>648</v>
      </c>
      <c r="Q27" s="29">
        <f t="shared" si="3"/>
        <v>7668</v>
      </c>
      <c r="R27" s="16"/>
      <c r="S27" s="16"/>
    </row>
    <row r="28" spans="1:19" x14ac:dyDescent="0.25">
      <c r="A28" s="13"/>
      <c r="B28" s="19">
        <v>3111215876</v>
      </c>
      <c r="C28" s="20" t="s">
        <v>109</v>
      </c>
      <c r="D28" s="15"/>
      <c r="E28" s="22">
        <v>4800</v>
      </c>
      <c r="F28" s="22">
        <v>5047.6099999999997</v>
      </c>
      <c r="G28" s="22">
        <f>196.98+6000</f>
        <v>6196.98</v>
      </c>
      <c r="H28" s="22">
        <f>153.54+2400</f>
        <v>2553.54</v>
      </c>
      <c r="I28" s="23">
        <f>2652</f>
        <v>2652</v>
      </c>
      <c r="J28" s="23">
        <v>2700</v>
      </c>
      <c r="K28" s="23">
        <v>2700</v>
      </c>
      <c r="L28" s="23">
        <v>480</v>
      </c>
      <c r="M28" s="23">
        <v>1620</v>
      </c>
      <c r="N28" s="23">
        <v>1560</v>
      </c>
      <c r="O28" s="22">
        <v>960</v>
      </c>
      <c r="P28" s="23">
        <v>0</v>
      </c>
      <c r="Q28" s="29">
        <f t="shared" si="3"/>
        <v>31270.13</v>
      </c>
      <c r="R28" s="16"/>
      <c r="S28" s="16"/>
    </row>
    <row r="29" spans="1:19" x14ac:dyDescent="0.25">
      <c r="A29" s="13"/>
      <c r="B29" s="19">
        <v>36752585</v>
      </c>
      <c r="C29" s="20" t="s">
        <v>110</v>
      </c>
      <c r="D29" s="15"/>
      <c r="E29" s="22">
        <v>259.20999999999998</v>
      </c>
      <c r="F29" s="22">
        <v>518.4</v>
      </c>
      <c r="G29" s="22">
        <f>259.2+259.2</f>
        <v>518.4</v>
      </c>
      <c r="H29" s="22">
        <f>259.2+259.2</f>
        <v>518.4</v>
      </c>
      <c r="I29" s="23">
        <f>259.2+259.2</f>
        <v>518.4</v>
      </c>
      <c r="J29" s="23">
        <f>259.2+259.2</f>
        <v>518.4</v>
      </c>
      <c r="K29" s="23">
        <v>0</v>
      </c>
      <c r="L29" s="23">
        <v>0</v>
      </c>
      <c r="M29" s="23">
        <v>0</v>
      </c>
      <c r="N29" s="23">
        <v>0</v>
      </c>
      <c r="O29" s="22">
        <v>0</v>
      </c>
      <c r="P29" s="23">
        <v>0</v>
      </c>
      <c r="Q29" s="29">
        <f t="shared" si="3"/>
        <v>2851.21</v>
      </c>
      <c r="R29" s="16"/>
      <c r="S29" s="16"/>
    </row>
    <row r="30" spans="1:19" x14ac:dyDescent="0.25">
      <c r="A30" s="13"/>
      <c r="B30" s="19">
        <v>44032995</v>
      </c>
      <c r="C30" s="20" t="s">
        <v>111</v>
      </c>
      <c r="D30" s="15"/>
      <c r="E30" s="22">
        <v>1901.78</v>
      </c>
      <c r="F30" s="22">
        <v>3607.2</v>
      </c>
      <c r="G30" s="22">
        <f>2076.45+972</f>
        <v>3048.45</v>
      </c>
      <c r="H30" s="22">
        <f>2004.38+1080</f>
        <v>3084.38</v>
      </c>
      <c r="I30" s="23">
        <f>1898.64+972</f>
        <v>2870.6400000000003</v>
      </c>
      <c r="J30" s="23">
        <v>3194.64</v>
      </c>
      <c r="K30" s="23">
        <v>5778.33</v>
      </c>
      <c r="L30" s="23">
        <v>2654.64</v>
      </c>
      <c r="M30" s="23">
        <v>4507.3500000000004</v>
      </c>
      <c r="N30" s="23">
        <v>1600.57</v>
      </c>
      <c r="O30" s="22">
        <v>3126.62</v>
      </c>
      <c r="P30" s="23">
        <v>7500.3</v>
      </c>
      <c r="Q30" s="29">
        <f t="shared" si="3"/>
        <v>42874.9</v>
      </c>
      <c r="R30" s="16"/>
      <c r="S30" s="16"/>
    </row>
    <row r="31" spans="1:19" x14ac:dyDescent="0.25">
      <c r="A31" s="13"/>
      <c r="B31" s="19">
        <v>710078</v>
      </c>
      <c r="C31" s="20" t="s">
        <v>112</v>
      </c>
      <c r="D31" s="15"/>
      <c r="E31" s="22">
        <v>2563.5500000000002</v>
      </c>
      <c r="F31" s="22">
        <v>1032</v>
      </c>
      <c r="G31" s="22">
        <f>1312.02+870+1583.78</f>
        <v>3765.8</v>
      </c>
      <c r="H31" s="22">
        <f>600+1874.74</f>
        <v>2474.7399999999998</v>
      </c>
      <c r="I31" s="23">
        <v>2453.7800000000002</v>
      </c>
      <c r="J31" s="23">
        <v>2453.7800000000002</v>
      </c>
      <c r="K31" s="23">
        <v>2872.75</v>
      </c>
      <c r="L31" s="23">
        <v>2462.23</v>
      </c>
      <c r="M31" s="23">
        <v>2025.17</v>
      </c>
      <c r="N31" s="23">
        <v>2453.7800000000002</v>
      </c>
      <c r="O31" s="22">
        <v>3682.69</v>
      </c>
      <c r="P31" s="23">
        <v>3248</v>
      </c>
      <c r="Q31" s="29">
        <f t="shared" si="3"/>
        <v>31488.27</v>
      </c>
      <c r="R31" s="16"/>
      <c r="S31" s="16"/>
    </row>
    <row r="32" spans="1:19" x14ac:dyDescent="0.25">
      <c r="A32" s="13"/>
      <c r="B32" s="19">
        <v>39998783</v>
      </c>
      <c r="C32" s="20" t="s">
        <v>113</v>
      </c>
      <c r="D32" s="15"/>
      <c r="E32" s="22">
        <v>0</v>
      </c>
      <c r="F32" s="22">
        <v>0</v>
      </c>
      <c r="G32" s="22">
        <v>0</v>
      </c>
      <c r="H32" s="22">
        <v>0</v>
      </c>
      <c r="I32" s="23">
        <v>1965.6</v>
      </c>
      <c r="J32" s="23">
        <v>3903.6</v>
      </c>
      <c r="K32" s="23">
        <v>0</v>
      </c>
      <c r="L32" s="23">
        <v>0</v>
      </c>
      <c r="M32" s="23">
        <v>2954.4</v>
      </c>
      <c r="N32" s="23">
        <v>0</v>
      </c>
      <c r="O32" s="23">
        <v>0</v>
      </c>
      <c r="P32" s="23">
        <v>9792</v>
      </c>
      <c r="Q32" s="29">
        <f t="shared" si="3"/>
        <v>18615.599999999999</v>
      </c>
      <c r="R32" s="16"/>
      <c r="S32" s="16"/>
    </row>
    <row r="33" spans="1:19" x14ac:dyDescent="0.25">
      <c r="A33" s="13"/>
      <c r="B33" s="19">
        <v>2794423283</v>
      </c>
      <c r="C33" s="20" t="s">
        <v>114</v>
      </c>
      <c r="D33" s="15"/>
      <c r="E33" s="22">
        <v>0</v>
      </c>
      <c r="F33" s="22">
        <v>0</v>
      </c>
      <c r="G33" s="22">
        <v>0</v>
      </c>
      <c r="H33" s="22">
        <v>0</v>
      </c>
      <c r="I33" s="23">
        <v>612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9">
        <f t="shared" si="3"/>
        <v>612</v>
      </c>
      <c r="R33" s="16"/>
      <c r="S33" s="16"/>
    </row>
    <row r="34" spans="1:19" x14ac:dyDescent="0.25">
      <c r="A34" s="13"/>
      <c r="B34" s="19">
        <v>2008992928</v>
      </c>
      <c r="C34" s="20" t="s">
        <v>115</v>
      </c>
      <c r="D34" s="15"/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3">
        <v>648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9">
        <f t="shared" si="3"/>
        <v>648</v>
      </c>
      <c r="R34" s="16"/>
      <c r="S34" s="16"/>
    </row>
    <row r="35" spans="1:19" x14ac:dyDescent="0.25">
      <c r="A35" s="13"/>
      <c r="B35" s="19">
        <v>3096112053</v>
      </c>
      <c r="C35" s="20" t="s">
        <v>116</v>
      </c>
      <c r="D35" s="15"/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3">
        <v>0</v>
      </c>
      <c r="K35" s="23">
        <v>0</v>
      </c>
      <c r="L35" s="23">
        <v>270</v>
      </c>
      <c r="M35" s="23">
        <v>724.8</v>
      </c>
      <c r="N35" s="23">
        <v>0</v>
      </c>
      <c r="O35" s="23">
        <v>0</v>
      </c>
      <c r="P35" s="23">
        <v>0</v>
      </c>
      <c r="Q35" s="29">
        <f t="shared" si="3"/>
        <v>994.8</v>
      </c>
      <c r="R35" s="16"/>
      <c r="S35" s="16"/>
    </row>
    <row r="36" spans="1:19" x14ac:dyDescent="0.25">
      <c r="A36" s="13"/>
      <c r="B36" s="19">
        <v>2701212688</v>
      </c>
      <c r="C36" s="20" t="s">
        <v>117</v>
      </c>
      <c r="D36" s="15"/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3">
        <v>0</v>
      </c>
      <c r="K36" s="23">
        <v>0</v>
      </c>
      <c r="L36" s="23">
        <v>340.92</v>
      </c>
      <c r="M36" s="23">
        <v>0</v>
      </c>
      <c r="N36" s="23">
        <v>0</v>
      </c>
      <c r="O36" s="23">
        <v>0</v>
      </c>
      <c r="P36" s="23">
        <v>0</v>
      </c>
      <c r="Q36" s="29">
        <f t="shared" si="3"/>
        <v>340.92</v>
      </c>
      <c r="R36" s="16"/>
      <c r="S36" s="16"/>
    </row>
    <row r="37" spans="1:19" x14ac:dyDescent="0.25">
      <c r="A37" s="13"/>
      <c r="B37" s="19">
        <v>41707437</v>
      </c>
      <c r="C37" s="20" t="s">
        <v>118</v>
      </c>
      <c r="D37" s="15"/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3">
        <v>0</v>
      </c>
      <c r="K37" s="23">
        <v>0</v>
      </c>
      <c r="L37" s="23">
        <v>0</v>
      </c>
      <c r="M37" s="23">
        <v>2400</v>
      </c>
      <c r="N37" s="23">
        <v>0</v>
      </c>
      <c r="O37" s="23">
        <v>0</v>
      </c>
      <c r="P37" s="23">
        <v>0</v>
      </c>
      <c r="Q37" s="29">
        <f t="shared" si="3"/>
        <v>2400</v>
      </c>
      <c r="R37" s="16"/>
      <c r="S37" s="16"/>
    </row>
    <row r="38" spans="1:19" x14ac:dyDescent="0.25">
      <c r="A38" s="13"/>
      <c r="B38" s="19">
        <v>41400821</v>
      </c>
      <c r="C38" s="20" t="s">
        <v>119</v>
      </c>
      <c r="D38" s="15"/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2700</v>
      </c>
      <c r="P38" s="23">
        <v>8400</v>
      </c>
      <c r="Q38" s="29">
        <f t="shared" si="3"/>
        <v>11100</v>
      </c>
      <c r="R38" s="16"/>
      <c r="S38" s="16"/>
    </row>
    <row r="39" spans="1:19" ht="38.25" x14ac:dyDescent="0.25">
      <c r="A39" s="13">
        <v>0</v>
      </c>
      <c r="B39" s="13" t="s">
        <v>12</v>
      </c>
      <c r="C39" s="14" t="s">
        <v>13</v>
      </c>
      <c r="D39" s="15">
        <v>750000</v>
      </c>
      <c r="E39" s="18">
        <v>2266.58</v>
      </c>
      <c r="F39" s="18">
        <f t="shared" ref="F39:P39" si="4">SUM(F40:F41)</f>
        <v>17517.36</v>
      </c>
      <c r="G39" s="18">
        <f t="shared" si="4"/>
        <v>37626.270000000004</v>
      </c>
      <c r="H39" s="18">
        <f t="shared" si="4"/>
        <v>92501.52</v>
      </c>
      <c r="I39" s="18">
        <f t="shared" si="4"/>
        <v>47838.880000000005</v>
      </c>
      <c r="J39" s="18">
        <f t="shared" si="4"/>
        <v>63447.75</v>
      </c>
      <c r="K39" s="18">
        <f t="shared" si="4"/>
        <v>98442.66</v>
      </c>
      <c r="L39" s="18">
        <f t="shared" si="4"/>
        <v>274249.2</v>
      </c>
      <c r="M39" s="18">
        <f t="shared" si="4"/>
        <v>234336.23</v>
      </c>
      <c r="N39" s="18">
        <f t="shared" si="4"/>
        <v>55691.420000000006</v>
      </c>
      <c r="O39" s="18">
        <f t="shared" si="4"/>
        <v>59282.3</v>
      </c>
      <c r="P39" s="18">
        <f t="shared" si="4"/>
        <v>22922.469999999998</v>
      </c>
      <c r="Q39" s="29">
        <v>1006122.64</v>
      </c>
      <c r="R39" s="16">
        <f t="shared" si="1"/>
        <v>256122.64</v>
      </c>
      <c r="S39" s="16">
        <f t="shared" si="2"/>
        <v>134.14968533333334</v>
      </c>
    </row>
    <row r="40" spans="1:19" x14ac:dyDescent="0.25">
      <c r="A40" s="13"/>
      <c r="B40" s="19">
        <v>42102122</v>
      </c>
      <c r="C40" s="20" t="s">
        <v>121</v>
      </c>
      <c r="D40" s="15"/>
      <c r="E40" s="22">
        <v>2266.58</v>
      </c>
      <c r="F40" s="22">
        <v>8007.81</v>
      </c>
      <c r="G40" s="22">
        <v>17522.45</v>
      </c>
      <c r="H40" s="22">
        <v>32730.99</v>
      </c>
      <c r="I40" s="23">
        <v>42550.29</v>
      </c>
      <c r="J40" s="23">
        <v>52463.54</v>
      </c>
      <c r="K40" s="23">
        <v>51874.01</v>
      </c>
      <c r="L40" s="23">
        <v>54448.68</v>
      </c>
      <c r="M40" s="23">
        <v>56098.63</v>
      </c>
      <c r="N40" s="23">
        <v>51990.41</v>
      </c>
      <c r="O40" s="23">
        <v>52025.760000000002</v>
      </c>
      <c r="P40" s="23">
        <v>17299.78</v>
      </c>
      <c r="Q40" s="29">
        <f>SUM(E40:P40)</f>
        <v>439278.93000000005</v>
      </c>
      <c r="R40" s="16"/>
      <c r="S40" s="16"/>
    </row>
    <row r="41" spans="1:19" x14ac:dyDescent="0.25">
      <c r="A41" s="13"/>
      <c r="B41" s="19">
        <v>32478033</v>
      </c>
      <c r="C41" s="20" t="s">
        <v>94</v>
      </c>
      <c r="D41" s="15"/>
      <c r="E41" s="22">
        <v>0</v>
      </c>
      <c r="F41" s="22">
        <v>9509.5499999999993</v>
      </c>
      <c r="G41" s="22">
        <f>8780.18+1562.47+6878.18+2882.99</f>
        <v>20103.82</v>
      </c>
      <c r="H41" s="22">
        <f>696.51+5736.12+17041.68+11750.02+24546.2</f>
        <v>59770.53</v>
      </c>
      <c r="I41" s="23">
        <v>5288.59</v>
      </c>
      <c r="J41" s="23">
        <v>10984.21</v>
      </c>
      <c r="K41" s="23">
        <v>46568.65</v>
      </c>
      <c r="L41" s="23">
        <v>219800.52</v>
      </c>
      <c r="M41" s="23">
        <v>178237.6</v>
      </c>
      <c r="N41" s="23">
        <v>3701.01</v>
      </c>
      <c r="O41" s="23">
        <v>7256.54</v>
      </c>
      <c r="P41" s="23">
        <v>5622.69</v>
      </c>
      <c r="Q41" s="29">
        <f>SUM(E41:P41)</f>
        <v>566843.71</v>
      </c>
      <c r="R41" s="16"/>
      <c r="S41" s="16"/>
    </row>
    <row r="42" spans="1:19" ht="38.25" x14ac:dyDescent="0.25">
      <c r="A42" s="13">
        <v>0</v>
      </c>
      <c r="B42" s="13" t="s">
        <v>14</v>
      </c>
      <c r="C42" s="14" t="s">
        <v>15</v>
      </c>
      <c r="D42" s="15">
        <v>1250000</v>
      </c>
      <c r="E42" s="18">
        <v>0</v>
      </c>
      <c r="F42" s="18">
        <f>SUM(F43:F56)</f>
        <v>475026.56999999995</v>
      </c>
      <c r="G42" s="18">
        <f>SUM(G43:G56)</f>
        <v>-2434.33</v>
      </c>
      <c r="H42" s="18">
        <f>SUM(H43:H56)</f>
        <v>360.71999999999997</v>
      </c>
      <c r="I42" s="18">
        <f>SUM(I43:I61)</f>
        <v>3189.27</v>
      </c>
      <c r="J42" s="18">
        <f>SUM(J43:J63)</f>
        <v>6435.29</v>
      </c>
      <c r="K42" s="18">
        <f>SUM(K43:K65)</f>
        <v>-12712.509999999998</v>
      </c>
      <c r="L42" s="18">
        <f>SUM(L43:L75)</f>
        <v>10127.290000000001</v>
      </c>
      <c r="M42" s="18">
        <f>SUM(M43:M75)</f>
        <v>0</v>
      </c>
      <c r="N42" s="18">
        <f>SUM(N43:N75)</f>
        <v>-479.90999999999997</v>
      </c>
      <c r="O42" s="18">
        <f>SUM(O43:O75)</f>
        <v>0</v>
      </c>
      <c r="P42" s="18">
        <f>SUM(P43:P78)</f>
        <v>658.81</v>
      </c>
      <c r="Q42" s="29">
        <v>480171.2</v>
      </c>
      <c r="R42" s="16">
        <f t="shared" si="1"/>
        <v>-769828.8</v>
      </c>
      <c r="S42" s="16">
        <f t="shared" si="2"/>
        <v>38.413696000000002</v>
      </c>
    </row>
    <row r="43" spans="1:19" x14ac:dyDescent="0.25">
      <c r="A43" s="13"/>
      <c r="B43" s="19">
        <v>2104821426</v>
      </c>
      <c r="C43" s="20" t="s">
        <v>122</v>
      </c>
      <c r="D43" s="15"/>
      <c r="E43" s="22">
        <v>0</v>
      </c>
      <c r="F43" s="22">
        <v>1736.4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3">
        <v>0</v>
      </c>
      <c r="N43" s="23">
        <v>0</v>
      </c>
      <c r="O43" s="23">
        <v>0</v>
      </c>
      <c r="P43" s="23">
        <v>0</v>
      </c>
      <c r="Q43" s="29">
        <f>SUM(E43:P43)</f>
        <v>1736.4</v>
      </c>
      <c r="R43" s="16"/>
      <c r="S43" s="16"/>
    </row>
    <row r="44" spans="1:19" x14ac:dyDescent="0.25">
      <c r="A44" s="13"/>
      <c r="B44" s="30"/>
      <c r="C44" s="20" t="s">
        <v>123</v>
      </c>
      <c r="D44" s="15"/>
      <c r="E44" s="22">
        <v>0</v>
      </c>
      <c r="F44" s="22">
        <f>176242.47+266251.5</f>
        <v>442493.97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3">
        <v>0</v>
      </c>
      <c r="N44" s="23">
        <v>0</v>
      </c>
      <c r="O44" s="23">
        <v>0</v>
      </c>
      <c r="P44" s="23">
        <v>0</v>
      </c>
      <c r="Q44" s="29">
        <f t="shared" ref="Q44:Q78" si="5">SUM(E44:P44)</f>
        <v>442493.97</v>
      </c>
      <c r="R44" s="16"/>
      <c r="S44" s="16"/>
    </row>
    <row r="45" spans="1:19" x14ac:dyDescent="0.25">
      <c r="A45" s="13"/>
      <c r="B45" s="30"/>
      <c r="C45" s="20" t="s">
        <v>124</v>
      </c>
      <c r="D45" s="15"/>
      <c r="E45" s="22">
        <v>0</v>
      </c>
      <c r="F45" s="22">
        <v>1640.04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3">
        <v>0</v>
      </c>
      <c r="N45" s="23">
        <v>0</v>
      </c>
      <c r="O45" s="23">
        <v>0</v>
      </c>
      <c r="P45" s="23">
        <v>0</v>
      </c>
      <c r="Q45" s="29">
        <f t="shared" si="5"/>
        <v>1640.04</v>
      </c>
      <c r="R45" s="16"/>
      <c r="S45" s="16"/>
    </row>
    <row r="46" spans="1:19" x14ac:dyDescent="0.25">
      <c r="A46" s="13"/>
      <c r="B46" s="30"/>
      <c r="C46" s="20" t="s">
        <v>125</v>
      </c>
      <c r="D46" s="15"/>
      <c r="E46" s="22">
        <v>0</v>
      </c>
      <c r="F46" s="22">
        <v>4041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3">
        <v>0</v>
      </c>
      <c r="N46" s="23">
        <v>0</v>
      </c>
      <c r="O46" s="23">
        <v>0</v>
      </c>
      <c r="P46" s="23">
        <v>0</v>
      </c>
      <c r="Q46" s="29">
        <f t="shared" si="5"/>
        <v>4041</v>
      </c>
      <c r="R46" s="16"/>
      <c r="S46" s="16"/>
    </row>
    <row r="47" spans="1:19" x14ac:dyDescent="0.25">
      <c r="A47" s="13"/>
      <c r="B47" s="30"/>
      <c r="C47" s="20" t="s">
        <v>126</v>
      </c>
      <c r="D47" s="15"/>
      <c r="E47" s="22">
        <v>0</v>
      </c>
      <c r="F47" s="22">
        <v>2558.4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3">
        <v>0</v>
      </c>
      <c r="N47" s="23">
        <v>0</v>
      </c>
      <c r="O47" s="23">
        <v>0</v>
      </c>
      <c r="P47" s="23">
        <v>0</v>
      </c>
      <c r="Q47" s="29">
        <f t="shared" si="5"/>
        <v>2558.4</v>
      </c>
      <c r="R47" s="16"/>
      <c r="S47" s="16"/>
    </row>
    <row r="48" spans="1:19" x14ac:dyDescent="0.25">
      <c r="A48" s="13"/>
      <c r="B48" s="30"/>
      <c r="C48" s="20" t="s">
        <v>96</v>
      </c>
      <c r="D48" s="15"/>
      <c r="E48" s="22">
        <v>0</v>
      </c>
      <c r="F48" s="22">
        <v>1728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3">
        <v>0</v>
      </c>
      <c r="N48" s="23">
        <v>0</v>
      </c>
      <c r="O48" s="23">
        <v>0</v>
      </c>
      <c r="P48" s="23">
        <v>0</v>
      </c>
      <c r="Q48" s="29">
        <f t="shared" si="5"/>
        <v>1728</v>
      </c>
      <c r="R48" s="16"/>
      <c r="S48" s="16"/>
    </row>
    <row r="49" spans="1:19" x14ac:dyDescent="0.25">
      <c r="A49" s="13"/>
      <c r="B49" s="30"/>
      <c r="C49" s="20" t="s">
        <v>100</v>
      </c>
      <c r="D49" s="15"/>
      <c r="E49" s="22">
        <v>0</v>
      </c>
      <c r="F49" s="22">
        <v>1074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3">
        <v>0</v>
      </c>
      <c r="N49" s="23">
        <v>0</v>
      </c>
      <c r="O49" s="23">
        <v>0</v>
      </c>
      <c r="P49" s="23">
        <v>0</v>
      </c>
      <c r="Q49" s="29">
        <f t="shared" si="5"/>
        <v>1074</v>
      </c>
      <c r="R49" s="16"/>
      <c r="S49" s="16"/>
    </row>
    <row r="50" spans="1:19" x14ac:dyDescent="0.25">
      <c r="A50" s="13"/>
      <c r="B50" s="30"/>
      <c r="C50" s="20" t="s">
        <v>127</v>
      </c>
      <c r="D50" s="15"/>
      <c r="E50" s="22">
        <v>0</v>
      </c>
      <c r="F50" s="22">
        <v>1020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3">
        <v>0</v>
      </c>
      <c r="N50" s="23">
        <v>0</v>
      </c>
      <c r="O50" s="23">
        <v>0</v>
      </c>
      <c r="P50" s="23">
        <v>0</v>
      </c>
      <c r="Q50" s="29">
        <f t="shared" si="5"/>
        <v>1020</v>
      </c>
      <c r="R50" s="16"/>
      <c r="S50" s="16"/>
    </row>
    <row r="51" spans="1:19" x14ac:dyDescent="0.25">
      <c r="A51" s="13"/>
      <c r="B51" s="30"/>
      <c r="C51" s="20" t="s">
        <v>128</v>
      </c>
      <c r="D51" s="15"/>
      <c r="E51" s="22">
        <v>0</v>
      </c>
      <c r="F51" s="22">
        <v>16382.1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3">
        <v>0</v>
      </c>
      <c r="N51" s="23">
        <v>0</v>
      </c>
      <c r="O51" s="23">
        <v>0</v>
      </c>
      <c r="P51" s="23">
        <v>0</v>
      </c>
      <c r="Q51" s="29">
        <f t="shared" si="5"/>
        <v>16382.1</v>
      </c>
      <c r="R51" s="16"/>
      <c r="S51" s="16"/>
    </row>
    <row r="52" spans="1:19" x14ac:dyDescent="0.25">
      <c r="A52" s="13"/>
      <c r="B52" s="30"/>
      <c r="C52" s="20" t="s">
        <v>129</v>
      </c>
      <c r="D52" s="15"/>
      <c r="E52" s="22">
        <v>0</v>
      </c>
      <c r="F52" s="22">
        <v>2352.66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3">
        <v>0</v>
      </c>
      <c r="N52" s="23">
        <v>0</v>
      </c>
      <c r="O52" s="23">
        <v>0</v>
      </c>
      <c r="P52" s="23">
        <v>0</v>
      </c>
      <c r="Q52" s="29">
        <f t="shared" si="5"/>
        <v>2352.66</v>
      </c>
      <c r="R52" s="16"/>
      <c r="S52" s="16"/>
    </row>
    <row r="53" spans="1:19" x14ac:dyDescent="0.25">
      <c r="A53" s="13"/>
      <c r="B53" s="30"/>
      <c r="C53" s="20" t="s">
        <v>130</v>
      </c>
      <c r="D53" s="15"/>
      <c r="E53" s="22">
        <v>0</v>
      </c>
      <c r="F53" s="22">
        <v>0</v>
      </c>
      <c r="G53" s="22">
        <f>-670.73-2755.85</f>
        <v>-3426.58</v>
      </c>
      <c r="H53" s="22">
        <v>0</v>
      </c>
      <c r="I53" s="22">
        <v>0</v>
      </c>
      <c r="J53" s="22">
        <v>0</v>
      </c>
      <c r="K53" s="23">
        <v>-17231.349999999999</v>
      </c>
      <c r="L53" s="23">
        <v>-1344.59</v>
      </c>
      <c r="M53" s="23">
        <v>0</v>
      </c>
      <c r="N53" s="23">
        <v>-653.4</v>
      </c>
      <c r="O53" s="23">
        <v>0</v>
      </c>
      <c r="P53" s="23">
        <v>-637.19000000000005</v>
      </c>
      <c r="Q53" s="29">
        <f t="shared" si="5"/>
        <v>-23293.11</v>
      </c>
      <c r="R53" s="16"/>
      <c r="S53" s="16"/>
    </row>
    <row r="54" spans="1:19" x14ac:dyDescent="0.25">
      <c r="A54" s="13"/>
      <c r="B54" s="30"/>
      <c r="C54" s="20" t="s">
        <v>131</v>
      </c>
      <c r="D54" s="15"/>
      <c r="E54" s="22">
        <v>0</v>
      </c>
      <c r="F54" s="22">
        <v>0</v>
      </c>
      <c r="G54" s="22">
        <v>992.25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3">
        <v>0</v>
      </c>
      <c r="N54" s="23">
        <v>0</v>
      </c>
      <c r="O54" s="23">
        <v>0</v>
      </c>
      <c r="P54" s="23">
        <v>0</v>
      </c>
      <c r="Q54" s="29">
        <f t="shared" si="5"/>
        <v>992.25</v>
      </c>
      <c r="R54" s="16"/>
      <c r="S54" s="16"/>
    </row>
    <row r="55" spans="1:19" x14ac:dyDescent="0.25">
      <c r="A55" s="13"/>
      <c r="B55" s="30"/>
      <c r="C55" s="20" t="s">
        <v>132</v>
      </c>
      <c r="D55" s="15"/>
      <c r="E55" s="22">
        <v>0</v>
      </c>
      <c r="F55" s="22">
        <v>0</v>
      </c>
      <c r="G55" s="22">
        <v>0</v>
      </c>
      <c r="H55" s="22">
        <v>317.52</v>
      </c>
      <c r="I55" s="22">
        <v>0</v>
      </c>
      <c r="J55" s="22">
        <v>0</v>
      </c>
      <c r="K55" s="22">
        <v>0</v>
      </c>
      <c r="L55" s="22">
        <v>0</v>
      </c>
      <c r="M55" s="23">
        <v>0</v>
      </c>
      <c r="N55" s="23">
        <v>0</v>
      </c>
      <c r="O55" s="23">
        <v>0</v>
      </c>
      <c r="P55" s="23">
        <v>0</v>
      </c>
      <c r="Q55" s="29">
        <f t="shared" si="5"/>
        <v>317.52</v>
      </c>
      <c r="R55" s="16"/>
      <c r="S55" s="16"/>
    </row>
    <row r="56" spans="1:19" x14ac:dyDescent="0.25">
      <c r="A56" s="13"/>
      <c r="B56" s="30"/>
      <c r="C56" s="20" t="s">
        <v>133</v>
      </c>
      <c r="D56" s="15"/>
      <c r="E56" s="22">
        <v>0</v>
      </c>
      <c r="F56" s="22">
        <v>0</v>
      </c>
      <c r="G56" s="22">
        <v>0</v>
      </c>
      <c r="H56" s="22">
        <v>43.2</v>
      </c>
      <c r="I56" s="22">
        <v>0</v>
      </c>
      <c r="J56" s="22">
        <v>0</v>
      </c>
      <c r="K56" s="22">
        <v>0</v>
      </c>
      <c r="L56" s="22">
        <v>0</v>
      </c>
      <c r="M56" s="23">
        <v>0</v>
      </c>
      <c r="N56" s="23">
        <v>0</v>
      </c>
      <c r="O56" s="23">
        <v>0</v>
      </c>
      <c r="P56" s="23">
        <v>0</v>
      </c>
      <c r="Q56" s="29">
        <f t="shared" si="5"/>
        <v>43.2</v>
      </c>
      <c r="R56" s="16"/>
      <c r="S56" s="16"/>
    </row>
    <row r="57" spans="1:19" x14ac:dyDescent="0.25">
      <c r="A57" s="13"/>
      <c r="B57" s="19">
        <v>3057920421</v>
      </c>
      <c r="C57" s="20" t="s">
        <v>134</v>
      </c>
      <c r="D57" s="15"/>
      <c r="E57" s="22">
        <v>0</v>
      </c>
      <c r="F57" s="22">
        <v>0</v>
      </c>
      <c r="G57" s="22">
        <v>0</v>
      </c>
      <c r="H57" s="22">
        <v>0</v>
      </c>
      <c r="I57" s="23">
        <v>108</v>
      </c>
      <c r="J57" s="22">
        <v>0</v>
      </c>
      <c r="K57" s="22">
        <v>0</v>
      </c>
      <c r="L57" s="22">
        <v>0</v>
      </c>
      <c r="M57" s="23">
        <v>0</v>
      </c>
      <c r="N57" s="23">
        <v>173.49</v>
      </c>
      <c r="O57" s="23">
        <v>0</v>
      </c>
      <c r="P57" s="23">
        <v>0</v>
      </c>
      <c r="Q57" s="29">
        <f t="shared" si="5"/>
        <v>281.49</v>
      </c>
      <c r="R57" s="16"/>
      <c r="S57" s="16"/>
    </row>
    <row r="58" spans="1:19" x14ac:dyDescent="0.25">
      <c r="A58" s="13"/>
      <c r="B58" s="30"/>
      <c r="C58" s="20" t="s">
        <v>135</v>
      </c>
      <c r="D58" s="15"/>
      <c r="E58" s="22">
        <v>0</v>
      </c>
      <c r="F58" s="22">
        <v>0</v>
      </c>
      <c r="G58" s="22">
        <v>0</v>
      </c>
      <c r="H58" s="22">
        <v>0</v>
      </c>
      <c r="I58" s="23">
        <v>108</v>
      </c>
      <c r="J58" s="22">
        <v>0</v>
      </c>
      <c r="K58" s="22">
        <v>0</v>
      </c>
      <c r="L58" s="22">
        <v>0</v>
      </c>
      <c r="M58" s="23">
        <v>0</v>
      </c>
      <c r="N58" s="23">
        <v>0</v>
      </c>
      <c r="O58" s="23">
        <v>0</v>
      </c>
      <c r="P58" s="23">
        <v>0</v>
      </c>
      <c r="Q58" s="29">
        <f t="shared" si="5"/>
        <v>108</v>
      </c>
      <c r="R58" s="16"/>
      <c r="S58" s="16"/>
    </row>
    <row r="59" spans="1:19" x14ac:dyDescent="0.25">
      <c r="A59" s="13"/>
      <c r="B59" s="30"/>
      <c r="C59" s="20" t="s">
        <v>136</v>
      </c>
      <c r="D59" s="15"/>
      <c r="E59" s="22">
        <v>0</v>
      </c>
      <c r="F59" s="22">
        <v>0</v>
      </c>
      <c r="G59" s="22">
        <v>0</v>
      </c>
      <c r="H59" s="22">
        <v>0</v>
      </c>
      <c r="I59" s="23">
        <v>54</v>
      </c>
      <c r="J59" s="22">
        <v>0</v>
      </c>
      <c r="K59" s="22">
        <v>0</v>
      </c>
      <c r="L59" s="22">
        <v>0</v>
      </c>
      <c r="M59" s="23">
        <v>0</v>
      </c>
      <c r="N59" s="23">
        <v>0</v>
      </c>
      <c r="O59" s="23">
        <v>0</v>
      </c>
      <c r="P59" s="23">
        <v>0</v>
      </c>
      <c r="Q59" s="29">
        <f t="shared" si="5"/>
        <v>54</v>
      </c>
      <c r="R59" s="16"/>
      <c r="S59" s="16"/>
    </row>
    <row r="60" spans="1:19" x14ac:dyDescent="0.25">
      <c r="A60" s="13"/>
      <c r="B60" s="30"/>
      <c r="C60" s="20" t="s">
        <v>137</v>
      </c>
      <c r="D60" s="15"/>
      <c r="E60" s="22">
        <v>0</v>
      </c>
      <c r="F60" s="22">
        <v>0</v>
      </c>
      <c r="G60" s="22">
        <v>0</v>
      </c>
      <c r="H60" s="22">
        <v>0</v>
      </c>
      <c r="I60" s="23">
        <v>54</v>
      </c>
      <c r="J60" s="22">
        <v>0</v>
      </c>
      <c r="K60" s="22">
        <v>0</v>
      </c>
      <c r="L60" s="22">
        <v>0</v>
      </c>
      <c r="M60" s="23">
        <v>0</v>
      </c>
      <c r="N60" s="23">
        <v>0</v>
      </c>
      <c r="O60" s="23">
        <v>0</v>
      </c>
      <c r="P60" s="23">
        <v>0</v>
      </c>
      <c r="Q60" s="29">
        <f t="shared" si="5"/>
        <v>54</v>
      </c>
      <c r="R60" s="16"/>
      <c r="S60" s="16"/>
    </row>
    <row r="61" spans="1:19" x14ac:dyDescent="0.25">
      <c r="A61" s="13"/>
      <c r="B61" s="30"/>
      <c r="C61" s="20" t="s">
        <v>114</v>
      </c>
      <c r="D61" s="15"/>
      <c r="E61" s="22">
        <v>0</v>
      </c>
      <c r="F61" s="22">
        <v>0</v>
      </c>
      <c r="G61" s="22">
        <v>0</v>
      </c>
      <c r="H61" s="22">
        <v>0</v>
      </c>
      <c r="I61" s="23">
        <v>2865.27</v>
      </c>
      <c r="J61" s="22">
        <v>0</v>
      </c>
      <c r="K61" s="22">
        <v>0</v>
      </c>
      <c r="L61" s="22">
        <v>0</v>
      </c>
      <c r="M61" s="23">
        <v>0</v>
      </c>
      <c r="N61" s="23">
        <v>0</v>
      </c>
      <c r="O61" s="23">
        <v>0</v>
      </c>
      <c r="P61" s="23">
        <v>0</v>
      </c>
      <c r="Q61" s="29">
        <f t="shared" si="5"/>
        <v>2865.27</v>
      </c>
      <c r="R61" s="16"/>
      <c r="S61" s="16"/>
    </row>
    <row r="62" spans="1:19" x14ac:dyDescent="0.25">
      <c r="A62" s="13"/>
      <c r="B62" s="19">
        <v>2980800104</v>
      </c>
      <c r="C62" s="20" t="s">
        <v>138</v>
      </c>
      <c r="D62" s="15"/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435.29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9">
        <f t="shared" si="5"/>
        <v>435.29</v>
      </c>
      <c r="R62" s="16"/>
      <c r="S62" s="16"/>
    </row>
    <row r="63" spans="1:19" x14ac:dyDescent="0.25">
      <c r="A63" s="13"/>
      <c r="B63" s="19">
        <v>1428307496</v>
      </c>
      <c r="C63" s="20" t="s">
        <v>139</v>
      </c>
      <c r="D63" s="15"/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6000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9">
        <f t="shared" si="5"/>
        <v>6000</v>
      </c>
      <c r="R63" s="16"/>
      <c r="S63" s="16"/>
    </row>
    <row r="64" spans="1:19" x14ac:dyDescent="0.25">
      <c r="A64" s="13"/>
      <c r="B64" s="19">
        <v>2251822632</v>
      </c>
      <c r="C64" s="20" t="s">
        <v>140</v>
      </c>
      <c r="D64" s="15"/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3">
        <v>4475.6400000000003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9">
        <f t="shared" si="5"/>
        <v>4475.6400000000003</v>
      </c>
      <c r="R64" s="16"/>
      <c r="S64" s="16"/>
    </row>
    <row r="65" spans="1:19" x14ac:dyDescent="0.25">
      <c r="A65" s="13"/>
      <c r="B65" s="19">
        <v>2433104251</v>
      </c>
      <c r="C65" s="20" t="s">
        <v>141</v>
      </c>
      <c r="D65" s="15"/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3">
        <v>43.2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9">
        <f t="shared" si="5"/>
        <v>43.2</v>
      </c>
      <c r="R65" s="16"/>
      <c r="S65" s="16"/>
    </row>
    <row r="66" spans="1:19" x14ac:dyDescent="0.25">
      <c r="A66" s="13"/>
      <c r="B66" s="19">
        <v>2773203210</v>
      </c>
      <c r="C66" s="20" t="s">
        <v>142</v>
      </c>
      <c r="D66" s="15"/>
      <c r="E66" s="22">
        <v>0</v>
      </c>
      <c r="F66" s="22">
        <v>0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3">
        <v>864</v>
      </c>
      <c r="M66" s="23">
        <v>0</v>
      </c>
      <c r="N66" s="23">
        <v>0</v>
      </c>
      <c r="O66" s="23">
        <v>0</v>
      </c>
      <c r="P66" s="23">
        <v>0</v>
      </c>
      <c r="Q66" s="29">
        <f t="shared" si="5"/>
        <v>864</v>
      </c>
      <c r="R66" s="16"/>
      <c r="S66" s="16"/>
    </row>
    <row r="67" spans="1:19" x14ac:dyDescent="0.25">
      <c r="A67" s="13"/>
      <c r="B67" s="19">
        <v>1876907117</v>
      </c>
      <c r="C67" s="20" t="s">
        <v>143</v>
      </c>
      <c r="D67" s="15"/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3">
        <v>864</v>
      </c>
      <c r="M67" s="23">
        <v>0</v>
      </c>
      <c r="N67" s="23">
        <v>0</v>
      </c>
      <c r="O67" s="23">
        <v>0</v>
      </c>
      <c r="P67" s="23">
        <v>0</v>
      </c>
      <c r="Q67" s="29">
        <f t="shared" si="5"/>
        <v>864</v>
      </c>
      <c r="R67" s="16"/>
      <c r="S67" s="16"/>
    </row>
    <row r="68" spans="1:19" x14ac:dyDescent="0.25">
      <c r="A68" s="13"/>
      <c r="B68" s="19">
        <v>2036404236</v>
      </c>
      <c r="C68" s="20" t="s">
        <v>144</v>
      </c>
      <c r="D68" s="15"/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3">
        <v>551.88</v>
      </c>
      <c r="M68" s="23">
        <v>0</v>
      </c>
      <c r="N68" s="23">
        <v>0</v>
      </c>
      <c r="O68" s="23">
        <v>0</v>
      </c>
      <c r="P68" s="23">
        <v>0</v>
      </c>
      <c r="Q68" s="29">
        <f t="shared" si="5"/>
        <v>551.88</v>
      </c>
      <c r="R68" s="16"/>
      <c r="S68" s="16"/>
    </row>
    <row r="69" spans="1:19" x14ac:dyDescent="0.25">
      <c r="A69" s="13"/>
      <c r="B69" s="19">
        <v>3146322972</v>
      </c>
      <c r="C69" s="20" t="s">
        <v>145</v>
      </c>
      <c r="D69" s="15"/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3">
        <v>1200</v>
      </c>
      <c r="M69" s="23">
        <v>0</v>
      </c>
      <c r="N69" s="23">
        <v>0</v>
      </c>
      <c r="O69" s="23">
        <v>0</v>
      </c>
      <c r="P69" s="23">
        <v>0</v>
      </c>
      <c r="Q69" s="29">
        <f t="shared" si="5"/>
        <v>1200</v>
      </c>
      <c r="R69" s="16"/>
      <c r="S69" s="16"/>
    </row>
    <row r="70" spans="1:19" x14ac:dyDescent="0.25">
      <c r="A70" s="13"/>
      <c r="B70" s="19">
        <v>2376515426</v>
      </c>
      <c r="C70" s="20" t="s">
        <v>146</v>
      </c>
      <c r="D70" s="15"/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3">
        <v>864</v>
      </c>
      <c r="M70" s="23">
        <v>0</v>
      </c>
      <c r="N70" s="23">
        <v>0</v>
      </c>
      <c r="O70" s="23">
        <v>0</v>
      </c>
      <c r="P70" s="23">
        <v>0</v>
      </c>
      <c r="Q70" s="29">
        <f t="shared" si="5"/>
        <v>864</v>
      </c>
      <c r="R70" s="16"/>
      <c r="S70" s="16"/>
    </row>
    <row r="71" spans="1:19" x14ac:dyDescent="0.25">
      <c r="A71" s="13"/>
      <c r="B71" s="19">
        <v>1790210106</v>
      </c>
      <c r="C71" s="20" t="s">
        <v>147</v>
      </c>
      <c r="D71" s="15"/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3">
        <v>864</v>
      </c>
      <c r="M71" s="23">
        <v>0</v>
      </c>
      <c r="N71" s="23">
        <v>0</v>
      </c>
      <c r="O71" s="23">
        <v>0</v>
      </c>
      <c r="P71" s="23">
        <v>0</v>
      </c>
      <c r="Q71" s="29">
        <f t="shared" si="5"/>
        <v>864</v>
      </c>
      <c r="R71" s="16"/>
      <c r="S71" s="16"/>
    </row>
    <row r="72" spans="1:19" x14ac:dyDescent="0.25">
      <c r="A72" s="13"/>
      <c r="B72" s="19">
        <v>2388510247</v>
      </c>
      <c r="C72" s="20" t="s">
        <v>148</v>
      </c>
      <c r="D72" s="15"/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23">
        <v>864</v>
      </c>
      <c r="M72" s="23">
        <v>0</v>
      </c>
      <c r="N72" s="23">
        <v>0</v>
      </c>
      <c r="O72" s="23">
        <v>0</v>
      </c>
      <c r="P72" s="23">
        <v>0</v>
      </c>
      <c r="Q72" s="29">
        <f t="shared" si="5"/>
        <v>864</v>
      </c>
      <c r="R72" s="16"/>
      <c r="S72" s="16"/>
    </row>
    <row r="73" spans="1:19" x14ac:dyDescent="0.25">
      <c r="A73" s="13"/>
      <c r="B73" s="19">
        <v>2377304497</v>
      </c>
      <c r="C73" s="20" t="s">
        <v>149</v>
      </c>
      <c r="D73" s="15"/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v>0</v>
      </c>
      <c r="L73" s="23">
        <v>864</v>
      </c>
      <c r="M73" s="23">
        <v>0</v>
      </c>
      <c r="N73" s="23">
        <v>0</v>
      </c>
      <c r="O73" s="23">
        <v>0</v>
      </c>
      <c r="P73" s="23">
        <v>0</v>
      </c>
      <c r="Q73" s="29">
        <f t="shared" si="5"/>
        <v>864</v>
      </c>
      <c r="R73" s="16"/>
      <c r="S73" s="16"/>
    </row>
    <row r="74" spans="1:19" x14ac:dyDescent="0.25">
      <c r="A74" s="13"/>
      <c r="B74" s="19">
        <v>3433610071</v>
      </c>
      <c r="C74" s="20" t="s">
        <v>150</v>
      </c>
      <c r="D74" s="15"/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3">
        <v>1728</v>
      </c>
      <c r="M74" s="23">
        <v>0</v>
      </c>
      <c r="N74" s="23">
        <v>0</v>
      </c>
      <c r="O74" s="23">
        <v>0</v>
      </c>
      <c r="P74" s="23">
        <v>0</v>
      </c>
      <c r="Q74" s="29">
        <f t="shared" si="5"/>
        <v>1728</v>
      </c>
      <c r="R74" s="16"/>
      <c r="S74" s="16"/>
    </row>
    <row r="75" spans="1:19" x14ac:dyDescent="0.25">
      <c r="A75" s="13"/>
      <c r="B75" s="19">
        <v>3045625031</v>
      </c>
      <c r="C75" s="20" t="s">
        <v>151</v>
      </c>
      <c r="D75" s="15"/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3">
        <v>2808</v>
      </c>
      <c r="M75" s="23">
        <v>0</v>
      </c>
      <c r="N75" s="23">
        <v>0</v>
      </c>
      <c r="O75" s="23">
        <v>0</v>
      </c>
      <c r="P75" s="23">
        <v>0</v>
      </c>
      <c r="Q75" s="29">
        <f t="shared" si="5"/>
        <v>2808</v>
      </c>
      <c r="R75" s="16"/>
      <c r="S75" s="16"/>
    </row>
    <row r="76" spans="1:19" s="33" customFormat="1" x14ac:dyDescent="0.25">
      <c r="A76" s="30"/>
      <c r="B76" s="19">
        <v>2467611021</v>
      </c>
      <c r="C76" s="31" t="s">
        <v>152</v>
      </c>
      <c r="D76" s="23"/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216</v>
      </c>
      <c r="Q76" s="29">
        <f t="shared" si="5"/>
        <v>216</v>
      </c>
      <c r="R76" s="32"/>
      <c r="S76" s="32"/>
    </row>
    <row r="77" spans="1:19" s="33" customFormat="1" x14ac:dyDescent="0.25">
      <c r="A77" s="30"/>
      <c r="B77" s="30"/>
      <c r="C77" s="31" t="s">
        <v>153</v>
      </c>
      <c r="D77" s="23"/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432</v>
      </c>
      <c r="Q77" s="29">
        <f t="shared" si="5"/>
        <v>432</v>
      </c>
      <c r="R77" s="32"/>
      <c r="S77" s="32"/>
    </row>
    <row r="78" spans="1:19" s="33" customFormat="1" x14ac:dyDescent="0.25">
      <c r="A78" s="30"/>
      <c r="B78" s="19">
        <v>2483109552</v>
      </c>
      <c r="C78" s="31" t="s">
        <v>154</v>
      </c>
      <c r="D78" s="23"/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648</v>
      </c>
      <c r="Q78" s="29">
        <f t="shared" si="5"/>
        <v>648</v>
      </c>
      <c r="R78" s="32"/>
      <c r="S78" s="32"/>
    </row>
    <row r="79" spans="1:19" ht="25.5" x14ac:dyDescent="0.25">
      <c r="A79" s="13">
        <v>0</v>
      </c>
      <c r="B79" s="13" t="s">
        <v>16</v>
      </c>
      <c r="C79" s="14" t="s">
        <v>17</v>
      </c>
      <c r="D79" s="15">
        <v>0</v>
      </c>
      <c r="E79" s="18">
        <v>0</v>
      </c>
      <c r="F79" s="18">
        <f t="shared" ref="F79:P79" si="6">F80</f>
        <v>200</v>
      </c>
      <c r="G79" s="18">
        <f t="shared" si="6"/>
        <v>0</v>
      </c>
      <c r="H79" s="18">
        <f t="shared" si="6"/>
        <v>0</v>
      </c>
      <c r="I79" s="18">
        <f t="shared" si="6"/>
        <v>0</v>
      </c>
      <c r="J79" s="18">
        <f t="shared" si="6"/>
        <v>0</v>
      </c>
      <c r="K79" s="18">
        <f t="shared" si="6"/>
        <v>0</v>
      </c>
      <c r="L79" s="18">
        <f t="shared" si="6"/>
        <v>0</v>
      </c>
      <c r="M79" s="18">
        <f t="shared" si="6"/>
        <v>0</v>
      </c>
      <c r="N79" s="18">
        <f t="shared" si="6"/>
        <v>0</v>
      </c>
      <c r="O79" s="18">
        <f t="shared" si="6"/>
        <v>0</v>
      </c>
      <c r="P79" s="18">
        <f t="shared" si="6"/>
        <v>0</v>
      </c>
      <c r="Q79" s="29">
        <v>200</v>
      </c>
      <c r="R79" s="16">
        <f t="shared" si="1"/>
        <v>200</v>
      </c>
      <c r="S79" s="16">
        <f t="shared" si="2"/>
        <v>0</v>
      </c>
    </row>
    <row r="80" spans="1:19" x14ac:dyDescent="0.25">
      <c r="A80" s="13"/>
      <c r="B80" s="19">
        <v>30813029</v>
      </c>
      <c r="C80" s="20" t="s">
        <v>97</v>
      </c>
      <c r="D80" s="15"/>
      <c r="E80" s="22">
        <v>0</v>
      </c>
      <c r="F80" s="22">
        <v>200</v>
      </c>
      <c r="G80" s="22">
        <v>0</v>
      </c>
      <c r="H80" s="22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9">
        <f>SUM(E80:P80)</f>
        <v>200</v>
      </c>
      <c r="R80" s="16"/>
      <c r="S80" s="16"/>
    </row>
    <row r="81" spans="1:19" ht="51" x14ac:dyDescent="0.2">
      <c r="A81" s="13">
        <v>0</v>
      </c>
      <c r="B81" s="13" t="s">
        <v>18</v>
      </c>
      <c r="C81" s="14" t="s">
        <v>19</v>
      </c>
      <c r="D81" s="15">
        <v>6500</v>
      </c>
      <c r="E81" s="34">
        <v>0</v>
      </c>
      <c r="F81" s="34">
        <v>0</v>
      </c>
      <c r="G81" s="34">
        <v>253</v>
      </c>
      <c r="H81" s="34">
        <v>259.11</v>
      </c>
      <c r="I81" s="27">
        <v>8.2799999999999994</v>
      </c>
      <c r="J81" s="29">
        <v>0</v>
      </c>
      <c r="K81" s="29">
        <v>0</v>
      </c>
      <c r="L81" s="29">
        <v>8.2799999999999994</v>
      </c>
      <c r="M81" s="29">
        <v>0</v>
      </c>
      <c r="N81" s="29">
        <v>10</v>
      </c>
      <c r="O81" s="34">
        <v>8.2799999999999994</v>
      </c>
      <c r="P81" s="34">
        <v>0</v>
      </c>
      <c r="Q81" s="29">
        <v>546.95000000000005</v>
      </c>
      <c r="R81" s="16">
        <f t="shared" si="1"/>
        <v>-5953.05</v>
      </c>
      <c r="S81" s="16">
        <f t="shared" si="2"/>
        <v>8.4146153846153862</v>
      </c>
    </row>
    <row r="82" spans="1:19" ht="25.5" x14ac:dyDescent="0.25">
      <c r="A82" s="13">
        <v>0</v>
      </c>
      <c r="B82" s="13" t="s">
        <v>20</v>
      </c>
      <c r="C82" s="14" t="s">
        <v>21</v>
      </c>
      <c r="D82" s="15">
        <v>3500</v>
      </c>
      <c r="E82" s="18">
        <v>0</v>
      </c>
      <c r="F82" s="18">
        <f t="shared" ref="F82:P82" si="7">SUM(F83:F84)</f>
        <v>1723.73</v>
      </c>
      <c r="G82" s="18">
        <f t="shared" si="7"/>
        <v>0</v>
      </c>
      <c r="H82" s="18">
        <f t="shared" si="7"/>
        <v>0</v>
      </c>
      <c r="I82" s="18">
        <f t="shared" si="7"/>
        <v>0</v>
      </c>
      <c r="J82" s="18">
        <f t="shared" si="7"/>
        <v>0</v>
      </c>
      <c r="K82" s="18">
        <f t="shared" si="7"/>
        <v>716.78</v>
      </c>
      <c r="L82" s="18">
        <f t="shared" si="7"/>
        <v>0</v>
      </c>
      <c r="M82" s="18">
        <f t="shared" si="7"/>
        <v>0</v>
      </c>
      <c r="N82" s="18">
        <f t="shared" si="7"/>
        <v>0</v>
      </c>
      <c r="O82" s="18">
        <f t="shared" si="7"/>
        <v>1181.95</v>
      </c>
      <c r="P82" s="18">
        <f t="shared" si="7"/>
        <v>0</v>
      </c>
      <c r="Q82" s="29">
        <v>3622.46</v>
      </c>
      <c r="R82" s="16">
        <f t="shared" si="1"/>
        <v>122.46000000000004</v>
      </c>
      <c r="S82" s="16">
        <f t="shared" si="2"/>
        <v>103.49885714285713</v>
      </c>
    </row>
    <row r="83" spans="1:19" x14ac:dyDescent="0.25">
      <c r="A83" s="13"/>
      <c r="B83" s="19">
        <v>3116721979</v>
      </c>
      <c r="C83" s="20" t="s">
        <v>155</v>
      </c>
      <c r="D83" s="15"/>
      <c r="E83" s="22">
        <v>0</v>
      </c>
      <c r="F83" s="22">
        <v>1348.91</v>
      </c>
      <c r="G83" s="22">
        <v>0</v>
      </c>
      <c r="H83" s="22">
        <v>0</v>
      </c>
      <c r="I83" s="23">
        <v>0</v>
      </c>
      <c r="J83" s="23">
        <v>0</v>
      </c>
      <c r="K83" s="23">
        <v>716.78</v>
      </c>
      <c r="L83" s="23">
        <v>0</v>
      </c>
      <c r="M83" s="23">
        <v>0</v>
      </c>
      <c r="N83" s="23">
        <v>0</v>
      </c>
      <c r="O83" s="23">
        <v>1181.95</v>
      </c>
      <c r="P83" s="23">
        <v>0</v>
      </c>
      <c r="Q83" s="29">
        <f>SUM(E83:P83)</f>
        <v>3247.6400000000003</v>
      </c>
      <c r="R83" s="16"/>
      <c r="S83" s="16"/>
    </row>
    <row r="84" spans="1:19" x14ac:dyDescent="0.25">
      <c r="A84" s="13"/>
      <c r="B84" s="19">
        <v>33108815</v>
      </c>
      <c r="C84" s="20" t="s">
        <v>91</v>
      </c>
      <c r="D84" s="15"/>
      <c r="E84" s="22">
        <v>0</v>
      </c>
      <c r="F84" s="22">
        <v>374.82</v>
      </c>
      <c r="G84" s="22">
        <v>0</v>
      </c>
      <c r="H84" s="22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9">
        <f>SUM(E84:P84)</f>
        <v>374.82</v>
      </c>
      <c r="R84" s="16"/>
      <c r="S84" s="16"/>
    </row>
    <row r="85" spans="1:19" ht="25.5" x14ac:dyDescent="0.25">
      <c r="A85" s="13">
        <v>0</v>
      </c>
      <c r="B85" s="13" t="s">
        <v>22</v>
      </c>
      <c r="C85" s="14" t="s">
        <v>23</v>
      </c>
      <c r="D85" s="15">
        <v>50000</v>
      </c>
      <c r="E85" s="18">
        <f>SUM(E86:E93)</f>
        <v>4143</v>
      </c>
      <c r="F85" s="18">
        <f t="shared" ref="F85:P85" si="8">SUM(F86:F93)</f>
        <v>3550</v>
      </c>
      <c r="G85" s="18">
        <f t="shared" si="8"/>
        <v>2903</v>
      </c>
      <c r="H85" s="18">
        <f t="shared" si="8"/>
        <v>3933</v>
      </c>
      <c r="I85" s="18">
        <f t="shared" si="8"/>
        <v>3203</v>
      </c>
      <c r="J85" s="18">
        <f t="shared" si="8"/>
        <v>4237</v>
      </c>
      <c r="K85" s="18">
        <f t="shared" si="8"/>
        <v>3104</v>
      </c>
      <c r="L85" s="18">
        <f t="shared" si="8"/>
        <v>3898</v>
      </c>
      <c r="M85" s="18">
        <f t="shared" si="8"/>
        <v>3492</v>
      </c>
      <c r="N85" s="18">
        <f t="shared" si="8"/>
        <v>3696</v>
      </c>
      <c r="O85" s="18">
        <f t="shared" si="8"/>
        <v>4841</v>
      </c>
      <c r="P85" s="18">
        <f t="shared" si="8"/>
        <v>5812</v>
      </c>
      <c r="Q85" s="29">
        <v>46812</v>
      </c>
      <c r="R85" s="16">
        <f t="shared" si="1"/>
        <v>-3188</v>
      </c>
      <c r="S85" s="16">
        <f t="shared" si="2"/>
        <v>93.623999999999995</v>
      </c>
    </row>
    <row r="86" spans="1:19" x14ac:dyDescent="0.25">
      <c r="A86" s="13"/>
      <c r="B86" s="19">
        <v>2008992928</v>
      </c>
      <c r="C86" s="20" t="s">
        <v>96</v>
      </c>
      <c r="D86" s="15"/>
      <c r="E86" s="22">
        <v>700</v>
      </c>
      <c r="F86" s="22">
        <v>616</v>
      </c>
      <c r="G86" s="22">
        <v>575</v>
      </c>
      <c r="H86" s="22">
        <v>661</v>
      </c>
      <c r="I86" s="23">
        <v>631</v>
      </c>
      <c r="J86" s="23">
        <v>647</v>
      </c>
      <c r="K86" s="23">
        <v>672</v>
      </c>
      <c r="L86" s="23">
        <v>698</v>
      </c>
      <c r="M86" s="23">
        <v>686</v>
      </c>
      <c r="N86" s="23">
        <v>646</v>
      </c>
      <c r="O86" s="23">
        <v>633</v>
      </c>
      <c r="P86" s="23">
        <v>2079</v>
      </c>
      <c r="Q86" s="29">
        <f>SUM(F86:P86)</f>
        <v>8544</v>
      </c>
      <c r="R86" s="16"/>
      <c r="S86" s="16"/>
    </row>
    <row r="87" spans="1:19" x14ac:dyDescent="0.25">
      <c r="A87" s="13"/>
      <c r="B87" s="19">
        <v>2909920966</v>
      </c>
      <c r="C87" s="20" t="s">
        <v>100</v>
      </c>
      <c r="D87" s="15"/>
      <c r="E87" s="22">
        <v>453</v>
      </c>
      <c r="F87" s="22">
        <v>437</v>
      </c>
      <c r="G87" s="22">
        <v>393</v>
      </c>
      <c r="H87" s="22">
        <v>412</v>
      </c>
      <c r="I87" s="23">
        <v>427</v>
      </c>
      <c r="J87" s="23">
        <v>412</v>
      </c>
      <c r="K87" s="23">
        <v>433</v>
      </c>
      <c r="L87" s="23">
        <v>457</v>
      </c>
      <c r="M87" s="23">
        <v>420</v>
      </c>
      <c r="N87" s="23">
        <v>372</v>
      </c>
      <c r="O87" s="23">
        <v>351</v>
      </c>
      <c r="P87" s="23">
        <v>1549</v>
      </c>
      <c r="Q87" s="29">
        <f t="shared" ref="Q87:Q93" si="9">SUM(F87:P87)</f>
        <v>5663</v>
      </c>
      <c r="R87" s="16"/>
      <c r="S87" s="16"/>
    </row>
    <row r="88" spans="1:19" x14ac:dyDescent="0.25">
      <c r="A88" s="13"/>
      <c r="B88" s="19">
        <v>2844911192</v>
      </c>
      <c r="C88" s="20" t="s">
        <v>127</v>
      </c>
      <c r="D88" s="15"/>
      <c r="E88" s="22">
        <v>416</v>
      </c>
      <c r="F88" s="22">
        <v>377</v>
      </c>
      <c r="G88" s="22">
        <v>384</v>
      </c>
      <c r="H88" s="22">
        <v>455</v>
      </c>
      <c r="I88" s="23">
        <v>112</v>
      </c>
      <c r="J88" s="23">
        <v>1385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9">
        <f t="shared" si="9"/>
        <v>2713</v>
      </c>
      <c r="R88" s="16"/>
      <c r="S88" s="16"/>
    </row>
    <row r="89" spans="1:19" x14ac:dyDescent="0.25">
      <c r="A89" s="13"/>
      <c r="B89" s="19">
        <v>3145318043</v>
      </c>
      <c r="C89" s="20" t="s">
        <v>156</v>
      </c>
      <c r="D89" s="15"/>
      <c r="E89" s="22">
        <v>691</v>
      </c>
      <c r="F89" s="22">
        <v>754</v>
      </c>
      <c r="G89" s="22">
        <v>678</v>
      </c>
      <c r="H89" s="22">
        <v>900</v>
      </c>
      <c r="I89" s="23">
        <v>928</v>
      </c>
      <c r="J89" s="23">
        <v>948</v>
      </c>
      <c r="K89" s="23">
        <v>852</v>
      </c>
      <c r="L89" s="23">
        <v>992</v>
      </c>
      <c r="M89" s="23">
        <v>853</v>
      </c>
      <c r="N89" s="23">
        <v>1135</v>
      </c>
      <c r="O89" s="23">
        <v>1407</v>
      </c>
      <c r="P89" s="23">
        <v>1320</v>
      </c>
      <c r="Q89" s="29">
        <f t="shared" si="9"/>
        <v>10767</v>
      </c>
      <c r="R89" s="16"/>
      <c r="S89" s="16"/>
    </row>
    <row r="90" spans="1:19" x14ac:dyDescent="0.25">
      <c r="A90" s="13"/>
      <c r="B90" s="19">
        <v>1869722107</v>
      </c>
      <c r="C90" s="20" t="s">
        <v>157</v>
      </c>
      <c r="D90" s="15"/>
      <c r="E90" s="22">
        <v>598</v>
      </c>
      <c r="F90" s="22">
        <v>0</v>
      </c>
      <c r="G90" s="22">
        <v>313</v>
      </c>
      <c r="H90" s="22">
        <f>366+314</f>
        <v>680</v>
      </c>
      <c r="I90" s="23">
        <v>285</v>
      </c>
      <c r="J90" s="23">
        <v>0</v>
      </c>
      <c r="K90" s="23">
        <v>365</v>
      </c>
      <c r="L90" s="23">
        <v>816</v>
      </c>
      <c r="M90" s="23">
        <v>0</v>
      </c>
      <c r="N90" s="23">
        <v>698</v>
      </c>
      <c r="O90" s="23">
        <v>0</v>
      </c>
      <c r="P90" s="23">
        <v>272</v>
      </c>
      <c r="Q90" s="29">
        <f t="shared" si="9"/>
        <v>3429</v>
      </c>
      <c r="R90" s="16"/>
      <c r="S90" s="16"/>
    </row>
    <row r="91" spans="1:19" x14ac:dyDescent="0.25">
      <c r="A91" s="13"/>
      <c r="B91" s="19">
        <v>1930104221</v>
      </c>
      <c r="C91" s="20" t="s">
        <v>125</v>
      </c>
      <c r="D91" s="15"/>
      <c r="E91" s="22">
        <v>1285</v>
      </c>
      <c r="F91" s="22">
        <v>1366</v>
      </c>
      <c r="G91" s="22">
        <v>560</v>
      </c>
      <c r="H91" s="22">
        <v>825</v>
      </c>
      <c r="I91" s="23">
        <v>820</v>
      </c>
      <c r="J91" s="23">
        <v>845</v>
      </c>
      <c r="K91" s="23">
        <v>782</v>
      </c>
      <c r="L91" s="23">
        <v>935</v>
      </c>
      <c r="M91" s="23">
        <v>850</v>
      </c>
      <c r="N91" s="23">
        <v>845</v>
      </c>
      <c r="O91" s="23">
        <v>650</v>
      </c>
      <c r="P91" s="23">
        <v>592</v>
      </c>
      <c r="Q91" s="29">
        <f t="shared" si="9"/>
        <v>9070</v>
      </c>
      <c r="R91" s="16"/>
      <c r="S91" s="16"/>
    </row>
    <row r="92" spans="1:19" x14ac:dyDescent="0.25">
      <c r="A92" s="13"/>
      <c r="B92" s="19">
        <v>3057920421</v>
      </c>
      <c r="C92" s="20" t="s">
        <v>158</v>
      </c>
      <c r="D92" s="15"/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23">
        <v>683</v>
      </c>
      <c r="N92" s="23">
        <v>0</v>
      </c>
      <c r="O92" s="23">
        <v>340</v>
      </c>
      <c r="P92" s="23">
        <v>0</v>
      </c>
      <c r="Q92" s="29">
        <f t="shared" si="9"/>
        <v>1023</v>
      </c>
      <c r="R92" s="16"/>
      <c r="S92" s="16"/>
    </row>
    <row r="93" spans="1:19" x14ac:dyDescent="0.25">
      <c r="A93" s="13"/>
      <c r="B93" s="19">
        <v>2104821426</v>
      </c>
      <c r="C93" s="20" t="s">
        <v>159</v>
      </c>
      <c r="D93" s="15"/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3">
        <v>1460</v>
      </c>
      <c r="P93" s="23">
        <v>0</v>
      </c>
      <c r="Q93" s="29">
        <f t="shared" si="9"/>
        <v>1460</v>
      </c>
      <c r="R93" s="16"/>
      <c r="S93" s="16"/>
    </row>
    <row r="94" spans="1:19" ht="38.25" x14ac:dyDescent="0.25">
      <c r="A94" s="13">
        <v>0</v>
      </c>
      <c r="B94" s="13" t="s">
        <v>24</v>
      </c>
      <c r="C94" s="14" t="s">
        <v>25</v>
      </c>
      <c r="D94" s="15">
        <v>0</v>
      </c>
      <c r="E94" s="18">
        <v>49.48</v>
      </c>
      <c r="F94" s="18">
        <v>0</v>
      </c>
      <c r="G94" s="18">
        <v>0</v>
      </c>
      <c r="H94" s="18">
        <v>439.95</v>
      </c>
      <c r="I94" s="35">
        <v>0</v>
      </c>
      <c r="J94" s="35">
        <v>0</v>
      </c>
      <c r="K94" s="18">
        <v>439.95</v>
      </c>
      <c r="L94" s="36">
        <v>0</v>
      </c>
      <c r="M94" s="36">
        <v>0</v>
      </c>
      <c r="N94" s="36">
        <v>439.95</v>
      </c>
      <c r="O94" s="36">
        <v>0</v>
      </c>
      <c r="P94" s="36">
        <v>0</v>
      </c>
      <c r="Q94" s="29">
        <v>1369.33</v>
      </c>
      <c r="R94" s="16">
        <f t="shared" si="1"/>
        <v>1369.33</v>
      </c>
      <c r="S94" s="16">
        <f t="shared" si="2"/>
        <v>0</v>
      </c>
    </row>
    <row r="95" spans="1:19" ht="38.25" x14ac:dyDescent="0.25">
      <c r="A95" s="13">
        <v>0</v>
      </c>
      <c r="B95" s="13" t="s">
        <v>26</v>
      </c>
      <c r="C95" s="14" t="s">
        <v>27</v>
      </c>
      <c r="D95" s="15">
        <v>25000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37">
        <v>3753.52</v>
      </c>
      <c r="K95" s="36">
        <v>11870.02</v>
      </c>
      <c r="L95" s="36">
        <v>6244.48</v>
      </c>
      <c r="M95" s="36">
        <v>1739.38</v>
      </c>
      <c r="N95" s="36">
        <v>82.64</v>
      </c>
      <c r="O95" s="36">
        <v>4237.78</v>
      </c>
      <c r="P95" s="36">
        <v>3101.47</v>
      </c>
      <c r="Q95" s="29">
        <v>31029.29</v>
      </c>
      <c r="R95" s="16">
        <f t="shared" si="1"/>
        <v>6029.2900000000009</v>
      </c>
      <c r="S95" s="16">
        <f t="shared" si="2"/>
        <v>124.11716</v>
      </c>
    </row>
    <row r="96" spans="1:19" ht="38.25" x14ac:dyDescent="0.25">
      <c r="A96" s="13">
        <v>0</v>
      </c>
      <c r="B96" s="13" t="s">
        <v>28</v>
      </c>
      <c r="C96" s="14" t="s">
        <v>29</v>
      </c>
      <c r="D96" s="15">
        <v>40000</v>
      </c>
      <c r="E96" s="18">
        <v>0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  <c r="K96" s="18">
        <v>470.17</v>
      </c>
      <c r="L96" s="36">
        <v>1767.7</v>
      </c>
      <c r="M96" s="36">
        <v>227.29</v>
      </c>
      <c r="N96" s="36">
        <v>103.61</v>
      </c>
      <c r="O96" s="36">
        <v>565.55999999999995</v>
      </c>
      <c r="P96" s="36">
        <v>0</v>
      </c>
      <c r="Q96" s="29">
        <v>3134.33</v>
      </c>
      <c r="R96" s="16">
        <f t="shared" si="1"/>
        <v>-36865.67</v>
      </c>
      <c r="S96" s="16">
        <f t="shared" si="2"/>
        <v>7.8358250000000007</v>
      </c>
    </row>
    <row r="97" spans="1:19" ht="38.25" x14ac:dyDescent="0.25">
      <c r="A97" s="13">
        <v>0</v>
      </c>
      <c r="B97" s="13" t="s">
        <v>30</v>
      </c>
      <c r="C97" s="14" t="s">
        <v>31</v>
      </c>
      <c r="D97" s="15">
        <v>120000</v>
      </c>
      <c r="E97" s="18">
        <v>29317.98</v>
      </c>
      <c r="F97" s="18">
        <f t="shared" ref="F97:M97" si="10">SUM(F98:F101)</f>
        <v>0</v>
      </c>
      <c r="G97" s="18">
        <f t="shared" si="10"/>
        <v>0</v>
      </c>
      <c r="H97" s="18">
        <f t="shared" si="10"/>
        <v>42736.6</v>
      </c>
      <c r="I97" s="18">
        <f t="shared" si="10"/>
        <v>0</v>
      </c>
      <c r="J97" s="18">
        <f t="shared" si="10"/>
        <v>0</v>
      </c>
      <c r="K97" s="18">
        <f t="shared" si="10"/>
        <v>42667.5</v>
      </c>
      <c r="L97" s="18">
        <f t="shared" si="10"/>
        <v>0</v>
      </c>
      <c r="M97" s="18">
        <f t="shared" si="10"/>
        <v>0</v>
      </c>
      <c r="N97" s="18">
        <f>SUM(N98:N102)</f>
        <v>7268.65</v>
      </c>
      <c r="O97" s="18">
        <f>SUM(O98:O102)</f>
        <v>33395.800000000003</v>
      </c>
      <c r="P97" s="18">
        <f>SUM(P98:P102)</f>
        <v>0</v>
      </c>
      <c r="Q97" s="29">
        <v>155386.53</v>
      </c>
      <c r="R97" s="16">
        <f t="shared" si="1"/>
        <v>35386.53</v>
      </c>
      <c r="S97" s="16">
        <f t="shared" si="2"/>
        <v>129.488775</v>
      </c>
    </row>
    <row r="98" spans="1:19" x14ac:dyDescent="0.25">
      <c r="A98" s="13"/>
      <c r="B98" s="19">
        <v>21560045</v>
      </c>
      <c r="C98" s="20" t="s">
        <v>160</v>
      </c>
      <c r="D98" s="15"/>
      <c r="E98" s="22">
        <v>1268.7</v>
      </c>
      <c r="F98" s="22">
        <v>0</v>
      </c>
      <c r="G98" s="22">
        <v>0</v>
      </c>
      <c r="H98" s="22">
        <v>1597.05</v>
      </c>
      <c r="I98" s="23">
        <v>0</v>
      </c>
      <c r="J98" s="23">
        <v>0</v>
      </c>
      <c r="K98" s="22">
        <v>1597.05</v>
      </c>
      <c r="L98" s="23">
        <v>0</v>
      </c>
      <c r="M98" s="23">
        <v>0</v>
      </c>
      <c r="N98" s="23">
        <v>2281.0500000000002</v>
      </c>
      <c r="O98" s="23">
        <v>0</v>
      </c>
      <c r="P98" s="23">
        <v>0</v>
      </c>
      <c r="Q98" s="29">
        <f>SUM(E98:P98)</f>
        <v>6743.85</v>
      </c>
      <c r="R98" s="16"/>
      <c r="S98" s="16"/>
    </row>
    <row r="99" spans="1:19" x14ac:dyDescent="0.25">
      <c r="A99" s="13"/>
      <c r="B99" s="19">
        <v>1707302</v>
      </c>
      <c r="C99" s="20" t="s">
        <v>107</v>
      </c>
      <c r="D99" s="15"/>
      <c r="E99" s="22">
        <v>2799</v>
      </c>
      <c r="F99" s="22">
        <v>0</v>
      </c>
      <c r="G99" s="22">
        <v>0</v>
      </c>
      <c r="H99" s="22">
        <v>3555</v>
      </c>
      <c r="I99" s="23">
        <v>0</v>
      </c>
      <c r="J99" s="23">
        <v>0</v>
      </c>
      <c r="K99" s="22">
        <v>3555</v>
      </c>
      <c r="L99" s="23">
        <v>0</v>
      </c>
      <c r="M99" s="23">
        <v>0</v>
      </c>
      <c r="N99" s="23">
        <v>3555</v>
      </c>
      <c r="O99" s="23">
        <v>0</v>
      </c>
      <c r="P99" s="23">
        <v>0</v>
      </c>
      <c r="Q99" s="29">
        <f t="shared" ref="Q99:Q102" si="11">SUM(E99:P99)</f>
        <v>13464</v>
      </c>
      <c r="R99" s="16"/>
      <c r="S99" s="16"/>
    </row>
    <row r="100" spans="1:19" x14ac:dyDescent="0.25">
      <c r="A100" s="13"/>
      <c r="B100" s="19">
        <v>130760</v>
      </c>
      <c r="C100" s="20" t="s">
        <v>161</v>
      </c>
      <c r="D100" s="15"/>
      <c r="E100" s="22">
        <v>1200.0999999999999</v>
      </c>
      <c r="F100" s="22">
        <v>0</v>
      </c>
      <c r="G100" s="22">
        <v>0</v>
      </c>
      <c r="H100" s="22">
        <v>1524.6</v>
      </c>
      <c r="I100" s="23">
        <v>0</v>
      </c>
      <c r="J100" s="23">
        <v>0</v>
      </c>
      <c r="K100" s="22">
        <v>1524.6</v>
      </c>
      <c r="L100" s="23">
        <v>0</v>
      </c>
      <c r="M100" s="23">
        <v>0</v>
      </c>
      <c r="N100" s="23">
        <v>1524.6</v>
      </c>
      <c r="O100" s="23">
        <v>0</v>
      </c>
      <c r="P100" s="23">
        <v>0</v>
      </c>
      <c r="Q100" s="29">
        <f t="shared" si="11"/>
        <v>5773.9</v>
      </c>
      <c r="R100" s="16"/>
      <c r="S100" s="16"/>
    </row>
    <row r="101" spans="1:19" x14ac:dyDescent="0.25">
      <c r="A101" s="13"/>
      <c r="B101" s="19">
        <v>33108815</v>
      </c>
      <c r="C101" s="20" t="s">
        <v>162</v>
      </c>
      <c r="D101" s="15"/>
      <c r="E101" s="22">
        <f>19050.18+5000</f>
        <v>24050.18</v>
      </c>
      <c r="F101" s="22">
        <v>0</v>
      </c>
      <c r="G101" s="22">
        <v>0</v>
      </c>
      <c r="H101" s="22">
        <v>36059.949999999997</v>
      </c>
      <c r="I101" s="23">
        <v>0</v>
      </c>
      <c r="J101" s="23">
        <v>0</v>
      </c>
      <c r="K101" s="23">
        <v>35990.85</v>
      </c>
      <c r="L101" s="23">
        <v>0</v>
      </c>
      <c r="M101" s="23">
        <v>0</v>
      </c>
      <c r="N101" s="23">
        <v>0</v>
      </c>
      <c r="O101" s="23">
        <v>33987.800000000003</v>
      </c>
      <c r="P101" s="23">
        <v>0</v>
      </c>
      <c r="Q101" s="29">
        <f t="shared" si="11"/>
        <v>130088.78</v>
      </c>
      <c r="R101" s="16"/>
      <c r="S101" s="16"/>
    </row>
    <row r="102" spans="1:19" x14ac:dyDescent="0.25">
      <c r="A102" s="13"/>
      <c r="B102" s="19"/>
      <c r="C102" s="20" t="s">
        <v>163</v>
      </c>
      <c r="D102" s="15"/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3">
        <v>-92</v>
      </c>
      <c r="O102" s="23">
        <v>-592</v>
      </c>
      <c r="P102" s="23">
        <v>0</v>
      </c>
      <c r="Q102" s="29">
        <f t="shared" si="11"/>
        <v>-684</v>
      </c>
      <c r="R102" s="16"/>
      <c r="S102" s="16"/>
    </row>
    <row r="103" spans="1:19" x14ac:dyDescent="0.25">
      <c r="A103" s="13">
        <v>0</v>
      </c>
      <c r="B103" s="13" t="s">
        <v>32</v>
      </c>
      <c r="C103" s="14" t="s">
        <v>33</v>
      </c>
      <c r="D103" s="15">
        <v>400000</v>
      </c>
      <c r="E103" s="18">
        <v>32009.29</v>
      </c>
      <c r="F103" s="18">
        <f t="shared" ref="F103:P103" si="12">SUM(F104:F111)</f>
        <v>37268.699999999997</v>
      </c>
      <c r="G103" s="18">
        <f t="shared" si="12"/>
        <v>32839.67</v>
      </c>
      <c r="H103" s="18">
        <f t="shared" si="12"/>
        <v>32839.67</v>
      </c>
      <c r="I103" s="18">
        <f t="shared" si="12"/>
        <v>32839.67</v>
      </c>
      <c r="J103" s="18">
        <f t="shared" si="12"/>
        <v>32839.67</v>
      </c>
      <c r="K103" s="18">
        <f t="shared" si="12"/>
        <v>32839.67</v>
      </c>
      <c r="L103" s="18">
        <f t="shared" si="12"/>
        <v>32827.409999999996</v>
      </c>
      <c r="M103" s="18">
        <f t="shared" si="12"/>
        <v>32086.89</v>
      </c>
      <c r="N103" s="18">
        <f t="shared" si="12"/>
        <v>31986.52</v>
      </c>
      <c r="O103" s="18">
        <f t="shared" si="12"/>
        <v>32025.84</v>
      </c>
      <c r="P103" s="18">
        <f t="shared" si="12"/>
        <v>32006.190000000002</v>
      </c>
      <c r="Q103" s="29">
        <v>394409.19</v>
      </c>
      <c r="R103" s="16">
        <f t="shared" si="1"/>
        <v>-5590.8099999999977</v>
      </c>
      <c r="S103" s="16">
        <f t="shared" si="2"/>
        <v>98.602297500000006</v>
      </c>
    </row>
    <row r="104" spans="1:19" x14ac:dyDescent="0.25">
      <c r="A104" s="13"/>
      <c r="B104" s="19">
        <v>274453</v>
      </c>
      <c r="C104" s="20" t="s">
        <v>164</v>
      </c>
      <c r="D104" s="15"/>
      <c r="E104" s="22">
        <v>404.62</v>
      </c>
      <c r="F104" s="22">
        <v>404.71</v>
      </c>
      <c r="G104" s="22">
        <v>404.71</v>
      </c>
      <c r="H104" s="22">
        <v>404.71</v>
      </c>
      <c r="I104" s="22">
        <v>404.71</v>
      </c>
      <c r="J104" s="22">
        <v>404.71</v>
      </c>
      <c r="K104" s="22">
        <v>404.71</v>
      </c>
      <c r="L104" s="22">
        <v>404.71</v>
      </c>
      <c r="M104" s="22">
        <v>404.71</v>
      </c>
      <c r="N104" s="22">
        <v>404.71</v>
      </c>
      <c r="O104" s="22">
        <v>404.71</v>
      </c>
      <c r="P104" s="22">
        <v>404.71</v>
      </c>
      <c r="Q104" s="29">
        <f>SUM(E104:P104)</f>
        <v>4856.43</v>
      </c>
      <c r="R104" s="16"/>
      <c r="S104" s="16"/>
    </row>
    <row r="105" spans="1:19" x14ac:dyDescent="0.25">
      <c r="A105" s="13"/>
      <c r="B105" s="19">
        <v>130760</v>
      </c>
      <c r="C105" s="20" t="s">
        <v>161</v>
      </c>
      <c r="D105" s="15"/>
      <c r="E105" s="22">
        <v>677.32</v>
      </c>
      <c r="F105" s="22">
        <v>743.27</v>
      </c>
      <c r="G105" s="22">
        <v>677.27</v>
      </c>
      <c r="H105" s="22">
        <v>677.27</v>
      </c>
      <c r="I105" s="22">
        <v>677.27</v>
      </c>
      <c r="J105" s="22">
        <v>677.27</v>
      </c>
      <c r="K105" s="22">
        <v>677.27</v>
      </c>
      <c r="L105" s="22">
        <v>677.27</v>
      </c>
      <c r="M105" s="22">
        <v>677.27</v>
      </c>
      <c r="N105" s="22">
        <v>677.27</v>
      </c>
      <c r="O105" s="22">
        <v>677.27</v>
      </c>
      <c r="P105" s="22">
        <v>677.27</v>
      </c>
      <c r="Q105" s="29">
        <f t="shared" ref="Q105:Q111" si="13">SUM(E105:P105)</f>
        <v>8193.2900000000027</v>
      </c>
      <c r="R105" s="16"/>
      <c r="S105" s="16"/>
    </row>
    <row r="106" spans="1:19" x14ac:dyDescent="0.25">
      <c r="A106" s="13"/>
      <c r="B106" s="19">
        <v>33108815</v>
      </c>
      <c r="C106" s="20" t="s">
        <v>162</v>
      </c>
      <c r="D106" s="15"/>
      <c r="E106" s="22">
        <v>853.15</v>
      </c>
      <c r="F106" s="22">
        <v>853.15</v>
      </c>
      <c r="G106" s="22">
        <v>853.15</v>
      </c>
      <c r="H106" s="22">
        <v>853.15</v>
      </c>
      <c r="I106" s="22">
        <v>853.15</v>
      </c>
      <c r="J106" s="22">
        <v>853.15</v>
      </c>
      <c r="K106" s="22">
        <v>853.15</v>
      </c>
      <c r="L106" s="23">
        <v>840.89</v>
      </c>
      <c r="M106" s="23">
        <v>100.37</v>
      </c>
      <c r="N106" s="23">
        <v>0</v>
      </c>
      <c r="O106" s="23">
        <v>39.32</v>
      </c>
      <c r="P106" s="23">
        <v>19.670000000000002</v>
      </c>
      <c r="Q106" s="29">
        <f t="shared" si="13"/>
        <v>6972.2999999999993</v>
      </c>
      <c r="R106" s="16"/>
      <c r="S106" s="16"/>
    </row>
    <row r="107" spans="1:19" x14ac:dyDescent="0.25">
      <c r="A107" s="13"/>
      <c r="B107" s="21">
        <v>40081195</v>
      </c>
      <c r="C107" s="20" t="s">
        <v>165</v>
      </c>
      <c r="D107" s="15"/>
      <c r="E107" s="22">
        <v>30074.2</v>
      </c>
      <c r="F107" s="22">
        <v>30074.2</v>
      </c>
      <c r="G107" s="22">
        <v>30074.2</v>
      </c>
      <c r="H107" s="22">
        <v>30074.2</v>
      </c>
      <c r="I107" s="22">
        <v>30074.2</v>
      </c>
      <c r="J107" s="22">
        <v>30074.2</v>
      </c>
      <c r="K107" s="22">
        <v>30074.2</v>
      </c>
      <c r="L107" s="22">
        <v>30074.2</v>
      </c>
      <c r="M107" s="22">
        <v>30074.2</v>
      </c>
      <c r="N107" s="22">
        <v>30074.2</v>
      </c>
      <c r="O107" s="22">
        <v>30074.2</v>
      </c>
      <c r="P107" s="22">
        <v>30074.2</v>
      </c>
      <c r="Q107" s="29">
        <f t="shared" si="13"/>
        <v>360890.40000000008</v>
      </c>
      <c r="R107" s="16"/>
      <c r="S107" s="16"/>
    </row>
    <row r="108" spans="1:19" x14ac:dyDescent="0.25">
      <c r="A108" s="13"/>
      <c r="B108" s="19">
        <v>4418185</v>
      </c>
      <c r="C108" s="20" t="s">
        <v>98</v>
      </c>
      <c r="D108" s="15"/>
      <c r="E108" s="22">
        <v>0</v>
      </c>
      <c r="F108" s="22">
        <v>267.52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3">
        <v>0</v>
      </c>
      <c r="N108" s="23">
        <v>0</v>
      </c>
      <c r="O108" s="23">
        <v>0</v>
      </c>
      <c r="P108" s="23">
        <v>0</v>
      </c>
      <c r="Q108" s="29">
        <f t="shared" si="13"/>
        <v>267.52</v>
      </c>
      <c r="R108" s="16"/>
      <c r="S108" s="16"/>
    </row>
    <row r="109" spans="1:19" x14ac:dyDescent="0.25">
      <c r="A109" s="13"/>
      <c r="B109" s="19">
        <v>2005711</v>
      </c>
      <c r="C109" s="20" t="s">
        <v>90</v>
      </c>
      <c r="D109" s="15"/>
      <c r="E109" s="22">
        <v>0</v>
      </c>
      <c r="F109" s="22">
        <v>340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3">
        <v>0</v>
      </c>
      <c r="N109" s="23">
        <v>0</v>
      </c>
      <c r="O109" s="23">
        <v>0</v>
      </c>
      <c r="P109" s="23">
        <v>0</v>
      </c>
      <c r="Q109" s="29">
        <f t="shared" si="13"/>
        <v>340</v>
      </c>
      <c r="R109" s="16"/>
      <c r="S109" s="16"/>
    </row>
    <row r="110" spans="1:19" x14ac:dyDescent="0.25">
      <c r="A110" s="13"/>
      <c r="B110" s="19">
        <v>31050601</v>
      </c>
      <c r="C110" s="20" t="s">
        <v>166</v>
      </c>
      <c r="D110" s="15"/>
      <c r="E110" s="22">
        <v>0</v>
      </c>
      <c r="F110" s="22">
        <v>3755.51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22">
        <v>0</v>
      </c>
      <c r="M110" s="23">
        <v>0</v>
      </c>
      <c r="N110" s="23">
        <v>0</v>
      </c>
      <c r="O110" s="23">
        <v>0</v>
      </c>
      <c r="P110" s="23">
        <v>0</v>
      </c>
      <c r="Q110" s="29">
        <f t="shared" si="13"/>
        <v>3755.51</v>
      </c>
      <c r="R110" s="16"/>
      <c r="S110" s="16"/>
    </row>
    <row r="111" spans="1:19" x14ac:dyDescent="0.25">
      <c r="A111" s="13"/>
      <c r="B111" s="19">
        <v>21560766</v>
      </c>
      <c r="C111" s="20" t="s">
        <v>167</v>
      </c>
      <c r="D111" s="15"/>
      <c r="E111" s="22">
        <v>0</v>
      </c>
      <c r="F111" s="22">
        <v>830.34</v>
      </c>
      <c r="G111" s="22">
        <v>830.34</v>
      </c>
      <c r="H111" s="22">
        <v>830.34</v>
      </c>
      <c r="I111" s="22">
        <v>830.34</v>
      </c>
      <c r="J111" s="22">
        <v>830.34</v>
      </c>
      <c r="K111" s="22">
        <v>830.34</v>
      </c>
      <c r="L111" s="22">
        <v>830.34</v>
      </c>
      <c r="M111" s="22">
        <v>830.34</v>
      </c>
      <c r="N111" s="22">
        <v>830.34</v>
      </c>
      <c r="O111" s="22">
        <v>830.34</v>
      </c>
      <c r="P111" s="22">
        <v>830.34</v>
      </c>
      <c r="Q111" s="29">
        <f t="shared" si="13"/>
        <v>9133.74</v>
      </c>
      <c r="R111" s="16"/>
      <c r="S111" s="16"/>
    </row>
    <row r="112" spans="1:19" x14ac:dyDescent="0.25">
      <c r="A112" s="13">
        <v>0</v>
      </c>
      <c r="B112" s="13" t="s">
        <v>34</v>
      </c>
      <c r="C112" s="14" t="s">
        <v>35</v>
      </c>
      <c r="D112" s="15">
        <v>1000000</v>
      </c>
      <c r="E112" s="18">
        <v>134768.60999999999</v>
      </c>
      <c r="F112" s="18">
        <f t="shared" ref="F112:P112" si="14">SUM(F113:F122)</f>
        <v>69195.199999999997</v>
      </c>
      <c r="G112" s="18">
        <f t="shared" si="14"/>
        <v>69195.199999999997</v>
      </c>
      <c r="H112" s="18">
        <f t="shared" si="14"/>
        <v>80099.48</v>
      </c>
      <c r="I112" s="18">
        <f t="shared" si="14"/>
        <v>75399.19</v>
      </c>
      <c r="J112" s="18">
        <f t="shared" si="14"/>
        <v>75399.19</v>
      </c>
      <c r="K112" s="18">
        <f t="shared" si="14"/>
        <v>73088.06</v>
      </c>
      <c r="L112" s="18">
        <f t="shared" si="14"/>
        <v>74802.42</v>
      </c>
      <c r="M112" s="18">
        <f t="shared" si="14"/>
        <v>104923.86</v>
      </c>
      <c r="N112" s="18">
        <f t="shared" si="14"/>
        <v>26313.309999999998</v>
      </c>
      <c r="O112" s="18">
        <f t="shared" si="14"/>
        <v>190180.39</v>
      </c>
      <c r="P112" s="18">
        <f t="shared" si="14"/>
        <v>113542.36</v>
      </c>
      <c r="Q112" s="29">
        <v>1086907.27</v>
      </c>
      <c r="R112" s="16">
        <f t="shared" si="1"/>
        <v>86907.270000000019</v>
      </c>
      <c r="S112" s="16">
        <f t="shared" si="2"/>
        <v>108.690727</v>
      </c>
    </row>
    <row r="113" spans="1:19" x14ac:dyDescent="0.25">
      <c r="A113" s="13"/>
      <c r="B113" s="19">
        <v>33108794</v>
      </c>
      <c r="C113" s="20" t="s">
        <v>168</v>
      </c>
      <c r="D113" s="15"/>
      <c r="E113" s="22">
        <v>55000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  <c r="K113" s="23">
        <v>1827.28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9">
        <f>SUM(E113:P113)</f>
        <v>56827.28</v>
      </c>
      <c r="R113" s="16"/>
      <c r="S113" s="16"/>
    </row>
    <row r="114" spans="1:19" x14ac:dyDescent="0.25">
      <c r="A114" s="13"/>
      <c r="B114" s="19">
        <v>3293304</v>
      </c>
      <c r="C114" s="20" t="s">
        <v>169</v>
      </c>
      <c r="D114" s="15"/>
      <c r="E114" s="22">
        <v>46.55</v>
      </c>
      <c r="F114" s="22">
        <v>46.56</v>
      </c>
      <c r="G114" s="22">
        <v>46.56</v>
      </c>
      <c r="H114" s="22">
        <v>46.56</v>
      </c>
      <c r="I114" s="23">
        <v>46.55</v>
      </c>
      <c r="J114" s="23">
        <v>46.55</v>
      </c>
      <c r="K114" s="23">
        <v>46.55</v>
      </c>
      <c r="L114" s="23">
        <v>46.55</v>
      </c>
      <c r="M114" s="23">
        <v>46.55</v>
      </c>
      <c r="N114" s="23">
        <v>46.55</v>
      </c>
      <c r="O114" s="23">
        <v>44.43</v>
      </c>
      <c r="P114" s="23">
        <v>46.55</v>
      </c>
      <c r="Q114" s="29">
        <f t="shared" ref="Q114:Q122" si="15">SUM(E114:P114)</f>
        <v>556.5100000000001</v>
      </c>
      <c r="R114" s="16"/>
      <c r="S114" s="16"/>
    </row>
    <row r="115" spans="1:19" x14ac:dyDescent="0.25">
      <c r="A115" s="13"/>
      <c r="B115" s="19">
        <v>22844750</v>
      </c>
      <c r="C115" s="20" t="s">
        <v>99</v>
      </c>
      <c r="D115" s="15"/>
      <c r="E115" s="22">
        <v>3704.3</v>
      </c>
      <c r="F115" s="22">
        <v>3704.3</v>
      </c>
      <c r="G115" s="22">
        <v>3704.3</v>
      </c>
      <c r="H115" s="22">
        <v>3704.3</v>
      </c>
      <c r="I115" s="22">
        <v>3704.3</v>
      </c>
      <c r="J115" s="22">
        <v>3704.3</v>
      </c>
      <c r="K115" s="22">
        <v>3704.3</v>
      </c>
      <c r="L115" s="22">
        <v>3704.3</v>
      </c>
      <c r="M115" s="22">
        <v>3704.3</v>
      </c>
      <c r="N115" s="23">
        <v>0</v>
      </c>
      <c r="O115" s="23">
        <v>7408.6</v>
      </c>
      <c r="P115" s="23">
        <v>7408.6</v>
      </c>
      <c r="Q115" s="29">
        <f t="shared" si="15"/>
        <v>48155.899999999994</v>
      </c>
      <c r="R115" s="16"/>
      <c r="S115" s="16"/>
    </row>
    <row r="116" spans="1:19" x14ac:dyDescent="0.25">
      <c r="A116" s="13"/>
      <c r="B116" s="19">
        <v>40510715</v>
      </c>
      <c r="C116" s="20" t="s">
        <v>93</v>
      </c>
      <c r="D116" s="15"/>
      <c r="E116" s="22">
        <v>13970.4</v>
      </c>
      <c r="F116" s="22">
        <v>13970.4</v>
      </c>
      <c r="G116" s="22">
        <v>13970.4</v>
      </c>
      <c r="H116" s="22">
        <v>13970.4</v>
      </c>
      <c r="I116" s="22">
        <v>13970.4</v>
      </c>
      <c r="J116" s="22">
        <v>13970.4</v>
      </c>
      <c r="K116" s="22">
        <v>13970.4</v>
      </c>
      <c r="L116" s="22">
        <v>13970.4</v>
      </c>
      <c r="M116" s="22">
        <v>13970.4</v>
      </c>
      <c r="N116" s="22">
        <v>13970.4</v>
      </c>
      <c r="O116" s="22">
        <v>13970.4</v>
      </c>
      <c r="P116" s="22">
        <v>13970.4</v>
      </c>
      <c r="Q116" s="29">
        <f t="shared" si="15"/>
        <v>167644.79999999996</v>
      </c>
      <c r="R116" s="16"/>
      <c r="S116" s="16"/>
    </row>
    <row r="117" spans="1:19" x14ac:dyDescent="0.25">
      <c r="A117" s="13"/>
      <c r="B117" s="19">
        <v>14333937</v>
      </c>
      <c r="C117" s="20" t="s">
        <v>170</v>
      </c>
      <c r="D117" s="15"/>
      <c r="E117" s="22">
        <v>91.66</v>
      </c>
      <c r="F117" s="22">
        <v>91.66</v>
      </c>
      <c r="G117" s="22">
        <v>91.66</v>
      </c>
      <c r="H117" s="22">
        <v>91.66</v>
      </c>
      <c r="I117" s="22">
        <v>91.66</v>
      </c>
      <c r="J117" s="22">
        <v>91.66</v>
      </c>
      <c r="K117" s="22">
        <v>91.66</v>
      </c>
      <c r="L117" s="22">
        <v>91.66</v>
      </c>
      <c r="M117" s="22">
        <v>91.66</v>
      </c>
      <c r="N117" s="22">
        <v>91.66</v>
      </c>
      <c r="O117" s="22">
        <v>91.66</v>
      </c>
      <c r="P117" s="23">
        <v>91.7</v>
      </c>
      <c r="Q117" s="29">
        <f t="shared" si="15"/>
        <v>1099.9599999999998</v>
      </c>
      <c r="R117" s="16"/>
      <c r="S117" s="16"/>
    </row>
    <row r="118" spans="1:19" x14ac:dyDescent="0.25">
      <c r="A118" s="13"/>
      <c r="B118" s="19">
        <v>21560045</v>
      </c>
      <c r="C118" s="20" t="s">
        <v>160</v>
      </c>
      <c r="D118" s="15"/>
      <c r="E118" s="22">
        <v>131.05000000000001</v>
      </c>
      <c r="F118" s="22">
        <v>131.02000000000001</v>
      </c>
      <c r="G118" s="22">
        <v>131.02000000000001</v>
      </c>
      <c r="H118" s="22">
        <v>131.02000000000001</v>
      </c>
      <c r="I118" s="22">
        <v>131.02000000000001</v>
      </c>
      <c r="J118" s="22">
        <v>131.02000000000001</v>
      </c>
      <c r="K118" s="22">
        <v>131.02000000000001</v>
      </c>
      <c r="L118" s="22">
        <v>131.02000000000001</v>
      </c>
      <c r="M118" s="22">
        <v>131.02000000000001</v>
      </c>
      <c r="N118" s="22">
        <v>131.02000000000001</v>
      </c>
      <c r="O118" s="22">
        <v>131.02000000000001</v>
      </c>
      <c r="P118" s="22">
        <v>131.02000000000001</v>
      </c>
      <c r="Q118" s="29">
        <f t="shared" si="15"/>
        <v>1572.27</v>
      </c>
      <c r="R118" s="16"/>
      <c r="S118" s="16"/>
    </row>
    <row r="119" spans="1:19" x14ac:dyDescent="0.25">
      <c r="A119" s="13"/>
      <c r="B119" s="19">
        <v>1707302</v>
      </c>
      <c r="C119" s="20" t="s">
        <v>107</v>
      </c>
      <c r="D119" s="15"/>
      <c r="E119" s="22">
        <v>926.5</v>
      </c>
      <c r="F119" s="22">
        <v>926.5</v>
      </c>
      <c r="G119" s="22">
        <v>926.5</v>
      </c>
      <c r="H119" s="22">
        <v>926.5</v>
      </c>
      <c r="I119" s="22">
        <v>926.5</v>
      </c>
      <c r="J119" s="22">
        <v>926.5</v>
      </c>
      <c r="K119" s="22">
        <v>926.5</v>
      </c>
      <c r="L119" s="22">
        <v>926.5</v>
      </c>
      <c r="M119" s="22">
        <v>926.5</v>
      </c>
      <c r="N119" s="22">
        <v>926.5</v>
      </c>
      <c r="O119" s="22">
        <v>926.5</v>
      </c>
      <c r="P119" s="22">
        <v>926.5</v>
      </c>
      <c r="Q119" s="29">
        <f t="shared" si="15"/>
        <v>11118</v>
      </c>
      <c r="R119" s="16"/>
      <c r="S119" s="16"/>
    </row>
    <row r="120" spans="1:19" x14ac:dyDescent="0.25">
      <c r="A120" s="13"/>
      <c r="B120" s="19">
        <v>130760</v>
      </c>
      <c r="C120" s="20" t="s">
        <v>161</v>
      </c>
      <c r="D120" s="15"/>
      <c r="E120" s="22">
        <v>142.86000000000001</v>
      </c>
      <c r="F120" s="22">
        <v>142.9</v>
      </c>
      <c r="G120" s="22">
        <v>142.9</v>
      </c>
      <c r="H120" s="22">
        <v>142.9</v>
      </c>
      <c r="I120" s="22">
        <v>142.9</v>
      </c>
      <c r="J120" s="22">
        <v>142.9</v>
      </c>
      <c r="K120" s="22">
        <v>142.9</v>
      </c>
      <c r="L120" s="22">
        <v>142.9</v>
      </c>
      <c r="M120" s="22">
        <v>142.9</v>
      </c>
      <c r="N120" s="22">
        <v>142.9</v>
      </c>
      <c r="O120" s="22">
        <v>142.9</v>
      </c>
      <c r="P120" s="23">
        <v>283.01</v>
      </c>
      <c r="Q120" s="29">
        <f t="shared" si="15"/>
        <v>1854.8700000000001</v>
      </c>
      <c r="R120" s="16"/>
      <c r="S120" s="16"/>
    </row>
    <row r="121" spans="1:19" x14ac:dyDescent="0.25">
      <c r="A121" s="13"/>
      <c r="B121" s="19">
        <v>3310885</v>
      </c>
      <c r="C121" s="20" t="s">
        <v>162</v>
      </c>
      <c r="D121" s="15"/>
      <c r="E121" s="22">
        <v>45481.58</v>
      </c>
      <c r="F121" s="22">
        <v>45481.58</v>
      </c>
      <c r="G121" s="22">
        <v>45481.58</v>
      </c>
      <c r="H121" s="22">
        <v>45481.58</v>
      </c>
      <c r="I121" s="22">
        <v>45481.58</v>
      </c>
      <c r="J121" s="22">
        <v>45481.58</v>
      </c>
      <c r="K121" s="22">
        <v>45481.58</v>
      </c>
      <c r="L121" s="23">
        <v>45446.68</v>
      </c>
      <c r="M121" s="23">
        <v>75106.25</v>
      </c>
      <c r="N121" s="23">
        <v>0</v>
      </c>
      <c r="O121" s="23">
        <v>156560.6</v>
      </c>
      <c r="P121" s="23">
        <v>78280.3</v>
      </c>
      <c r="Q121" s="29">
        <f t="shared" si="15"/>
        <v>673764.89000000013</v>
      </c>
      <c r="R121" s="16"/>
      <c r="S121" s="16"/>
    </row>
    <row r="122" spans="1:19" x14ac:dyDescent="0.25">
      <c r="A122" s="13"/>
      <c r="B122" s="19">
        <v>32478033</v>
      </c>
      <c r="C122" s="20" t="s">
        <v>171</v>
      </c>
      <c r="D122" s="15"/>
      <c r="E122" s="22">
        <v>15273.71</v>
      </c>
      <c r="F122" s="22">
        <v>4700.28</v>
      </c>
      <c r="G122" s="22">
        <v>4700.28</v>
      </c>
      <c r="H122" s="22">
        <v>15604.56</v>
      </c>
      <c r="I122" s="23">
        <v>10904.28</v>
      </c>
      <c r="J122" s="23">
        <v>10904.28</v>
      </c>
      <c r="K122" s="23">
        <v>6765.87</v>
      </c>
      <c r="L122" s="23">
        <v>10342.41</v>
      </c>
      <c r="M122" s="23">
        <v>10804.28</v>
      </c>
      <c r="N122" s="23">
        <v>11004.28</v>
      </c>
      <c r="O122" s="23">
        <v>10904.28</v>
      </c>
      <c r="P122" s="23">
        <v>12404.28</v>
      </c>
      <c r="Q122" s="29">
        <f t="shared" si="15"/>
        <v>124312.79</v>
      </c>
      <c r="R122" s="16"/>
      <c r="S122" s="16"/>
    </row>
    <row r="123" spans="1:19" x14ac:dyDescent="0.25">
      <c r="A123" s="13">
        <v>0</v>
      </c>
      <c r="B123" s="13" t="s">
        <v>36</v>
      </c>
      <c r="C123" s="14" t="s">
        <v>37</v>
      </c>
      <c r="D123" s="15">
        <v>150000</v>
      </c>
      <c r="E123" s="18">
        <v>0</v>
      </c>
      <c r="F123" s="18">
        <v>487.3</v>
      </c>
      <c r="G123" s="18">
        <f>20+409</f>
        <v>429</v>
      </c>
      <c r="H123" s="18">
        <v>0</v>
      </c>
      <c r="I123" s="29">
        <v>812.51</v>
      </c>
      <c r="J123" s="29">
        <v>10191.35</v>
      </c>
      <c r="K123" s="29">
        <v>25656.639999999999</v>
      </c>
      <c r="L123" s="36">
        <v>32664.73</v>
      </c>
      <c r="M123" s="29">
        <v>10643.55</v>
      </c>
      <c r="N123" s="29">
        <v>16136.16</v>
      </c>
      <c r="O123" s="29">
        <v>5675.15</v>
      </c>
      <c r="P123" s="29">
        <v>5298.97</v>
      </c>
      <c r="Q123" s="29">
        <v>107995.36</v>
      </c>
      <c r="R123" s="16">
        <f t="shared" si="1"/>
        <v>-42004.639999999999</v>
      </c>
      <c r="S123" s="16">
        <f t="shared" si="2"/>
        <v>71.996906666666675</v>
      </c>
    </row>
    <row r="124" spans="1:19" x14ac:dyDescent="0.25">
      <c r="A124" s="13">
        <v>0</v>
      </c>
      <c r="B124" s="13" t="s">
        <v>38</v>
      </c>
      <c r="C124" s="14" t="s">
        <v>39</v>
      </c>
      <c r="D124" s="15">
        <v>1000000</v>
      </c>
      <c r="E124" s="18">
        <f>SUM(E125:E149)</f>
        <v>21488</v>
      </c>
      <c r="F124" s="18">
        <f t="shared" ref="F124:O124" si="16">SUM(F125:F149)</f>
        <v>13466</v>
      </c>
      <c r="G124" s="18">
        <f t="shared" si="16"/>
        <v>23388.5</v>
      </c>
      <c r="H124" s="18">
        <f t="shared" si="16"/>
        <v>14666</v>
      </c>
      <c r="I124" s="18">
        <f t="shared" si="16"/>
        <v>17441.8</v>
      </c>
      <c r="J124" s="18">
        <f t="shared" si="16"/>
        <v>13466</v>
      </c>
      <c r="K124" s="18">
        <f t="shared" si="16"/>
        <v>46139.960000000006</v>
      </c>
      <c r="L124" s="18">
        <f t="shared" si="16"/>
        <v>662670.42999999993</v>
      </c>
      <c r="M124" s="18">
        <f t="shared" si="16"/>
        <v>33862.980000000003</v>
      </c>
      <c r="N124" s="18">
        <f t="shared" si="16"/>
        <v>14906.5</v>
      </c>
      <c r="O124" s="18">
        <f t="shared" si="16"/>
        <v>16186.5</v>
      </c>
      <c r="P124" s="18">
        <f>SUM(P125:P150)</f>
        <v>28643</v>
      </c>
      <c r="Q124" s="29">
        <v>906325.67</v>
      </c>
      <c r="R124" s="16">
        <f t="shared" si="1"/>
        <v>-93674.329999999958</v>
      </c>
      <c r="S124" s="16">
        <f t="shared" si="2"/>
        <v>90.632567000000009</v>
      </c>
    </row>
    <row r="125" spans="1:19" x14ac:dyDescent="0.25">
      <c r="A125" s="13"/>
      <c r="B125" s="19">
        <v>2290907474</v>
      </c>
      <c r="C125" s="20" t="s">
        <v>172</v>
      </c>
      <c r="D125" s="15"/>
      <c r="E125" s="22">
        <v>4000</v>
      </c>
      <c r="F125" s="22">
        <v>0</v>
      </c>
      <c r="G125" s="22">
        <v>0</v>
      </c>
      <c r="H125" s="22">
        <v>0</v>
      </c>
      <c r="I125" s="22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/>
      <c r="Q125" s="29">
        <f>SUM(E125:P125)</f>
        <v>4000</v>
      </c>
      <c r="R125" s="16"/>
      <c r="S125" s="16"/>
    </row>
    <row r="126" spans="1:19" x14ac:dyDescent="0.25">
      <c r="A126" s="13"/>
      <c r="B126" s="19">
        <v>2750003221</v>
      </c>
      <c r="C126" s="20" t="s">
        <v>106</v>
      </c>
      <c r="D126" s="15"/>
      <c r="E126" s="22">
        <v>1961</v>
      </c>
      <c r="F126" s="22">
        <v>1961</v>
      </c>
      <c r="G126" s="22">
        <v>1961</v>
      </c>
      <c r="H126" s="22">
        <v>1961</v>
      </c>
      <c r="I126" s="22">
        <v>1961</v>
      </c>
      <c r="J126" s="22">
        <v>1961</v>
      </c>
      <c r="K126" s="22">
        <v>1961</v>
      </c>
      <c r="L126" s="22">
        <v>1961</v>
      </c>
      <c r="M126" s="22">
        <v>1961</v>
      </c>
      <c r="N126" s="22">
        <v>1961</v>
      </c>
      <c r="O126" s="22">
        <v>1961</v>
      </c>
      <c r="P126" s="22">
        <v>1961</v>
      </c>
      <c r="Q126" s="29">
        <f t="shared" ref="Q126:Q150" si="17">SUM(E126:P126)</f>
        <v>23532</v>
      </c>
      <c r="R126" s="16"/>
      <c r="S126" s="16"/>
    </row>
    <row r="127" spans="1:19" x14ac:dyDescent="0.25">
      <c r="A127" s="13"/>
      <c r="B127" s="19">
        <v>2964619835</v>
      </c>
      <c r="C127" s="20" t="s">
        <v>173</v>
      </c>
      <c r="D127" s="15"/>
      <c r="E127" s="22">
        <v>4022</v>
      </c>
      <c r="F127" s="22">
        <v>0</v>
      </c>
      <c r="G127" s="22">
        <v>0</v>
      </c>
      <c r="H127" s="22">
        <v>0</v>
      </c>
      <c r="I127" s="22">
        <v>0</v>
      </c>
      <c r="J127" s="23">
        <v>0</v>
      </c>
      <c r="K127" s="23"/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9">
        <f t="shared" si="17"/>
        <v>4022</v>
      </c>
      <c r="R127" s="16"/>
      <c r="S127" s="16"/>
    </row>
    <row r="128" spans="1:19" x14ac:dyDescent="0.25">
      <c r="A128" s="13"/>
      <c r="B128" s="19">
        <v>3116721979</v>
      </c>
      <c r="C128" s="20" t="s">
        <v>155</v>
      </c>
      <c r="D128" s="15"/>
      <c r="E128" s="22">
        <v>11505</v>
      </c>
      <c r="F128" s="22">
        <v>11505</v>
      </c>
      <c r="G128" s="22">
        <v>11505</v>
      </c>
      <c r="H128" s="22">
        <v>11505</v>
      </c>
      <c r="I128" s="22">
        <v>11505</v>
      </c>
      <c r="J128" s="22">
        <v>11505</v>
      </c>
      <c r="K128" s="22">
        <v>11505</v>
      </c>
      <c r="L128" s="22">
        <v>11505</v>
      </c>
      <c r="M128" s="22">
        <v>11505</v>
      </c>
      <c r="N128" s="22">
        <v>11505</v>
      </c>
      <c r="O128" s="22">
        <v>11505</v>
      </c>
      <c r="P128" s="22">
        <v>23010</v>
      </c>
      <c r="Q128" s="29">
        <f t="shared" si="17"/>
        <v>149565</v>
      </c>
      <c r="R128" s="16"/>
      <c r="S128" s="16"/>
    </row>
    <row r="129" spans="1:19" x14ac:dyDescent="0.25">
      <c r="A129" s="13"/>
      <c r="B129" s="38" t="s">
        <v>174</v>
      </c>
      <c r="C129" s="20" t="s">
        <v>175</v>
      </c>
      <c r="D129" s="15"/>
      <c r="E129" s="22">
        <v>0</v>
      </c>
      <c r="F129" s="22">
        <v>0</v>
      </c>
      <c r="G129" s="22">
        <v>9252.1</v>
      </c>
      <c r="H129" s="22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9">
        <f t="shared" si="17"/>
        <v>9252.1</v>
      </c>
      <c r="R129" s="16"/>
      <c r="S129" s="16"/>
    </row>
    <row r="130" spans="1:19" x14ac:dyDescent="0.25">
      <c r="A130" s="13"/>
      <c r="B130" s="19"/>
      <c r="C130" s="20" t="s">
        <v>176</v>
      </c>
      <c r="D130" s="15"/>
      <c r="E130" s="22">
        <v>0</v>
      </c>
      <c r="F130" s="22">
        <v>0</v>
      </c>
      <c r="G130" s="22">
        <v>670.4</v>
      </c>
      <c r="H130" s="22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9">
        <f t="shared" si="17"/>
        <v>670.4</v>
      </c>
      <c r="R130" s="16"/>
      <c r="S130" s="16"/>
    </row>
    <row r="131" spans="1:19" x14ac:dyDescent="0.25">
      <c r="A131" s="13"/>
      <c r="B131" s="19">
        <v>2739618150</v>
      </c>
      <c r="C131" s="20" t="s">
        <v>177</v>
      </c>
      <c r="D131" s="15"/>
      <c r="E131" s="22">
        <v>0</v>
      </c>
      <c r="F131" s="22">
        <v>0</v>
      </c>
      <c r="G131" s="22">
        <v>0</v>
      </c>
      <c r="H131" s="22">
        <v>1200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9">
        <f t="shared" si="17"/>
        <v>1200</v>
      </c>
      <c r="R131" s="16"/>
      <c r="S131" s="16"/>
    </row>
    <row r="132" spans="1:19" x14ac:dyDescent="0.25">
      <c r="A132" s="13"/>
      <c r="B132" s="19">
        <v>2800711321</v>
      </c>
      <c r="C132" s="20" t="s">
        <v>178</v>
      </c>
      <c r="D132" s="15"/>
      <c r="E132" s="22">
        <v>0</v>
      </c>
      <c r="F132" s="22">
        <v>0</v>
      </c>
      <c r="G132" s="22">
        <v>0</v>
      </c>
      <c r="H132" s="22">
        <v>0</v>
      </c>
      <c r="I132" s="23">
        <v>3975.8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9">
        <f t="shared" si="17"/>
        <v>3975.8</v>
      </c>
      <c r="R132" s="16"/>
      <c r="S132" s="16"/>
    </row>
    <row r="133" spans="1:19" x14ac:dyDescent="0.25">
      <c r="A133" s="13"/>
      <c r="B133" s="19">
        <v>2664017316</v>
      </c>
      <c r="C133" s="20" t="s">
        <v>179</v>
      </c>
      <c r="D133" s="15"/>
      <c r="E133" s="22">
        <v>0</v>
      </c>
      <c r="F133" s="22">
        <v>0</v>
      </c>
      <c r="G133" s="22">
        <v>0</v>
      </c>
      <c r="H133" s="22">
        <v>0</v>
      </c>
      <c r="I133" s="23">
        <v>0</v>
      </c>
      <c r="J133" s="23">
        <v>0</v>
      </c>
      <c r="K133" s="23">
        <v>3337.82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9">
        <f t="shared" si="17"/>
        <v>3337.82</v>
      </c>
      <c r="R133" s="16"/>
      <c r="S133" s="16"/>
    </row>
    <row r="134" spans="1:19" x14ac:dyDescent="0.25">
      <c r="A134" s="13"/>
      <c r="B134" s="19">
        <v>2555318558</v>
      </c>
      <c r="C134" s="20" t="s">
        <v>180</v>
      </c>
      <c r="D134" s="15"/>
      <c r="E134" s="22">
        <v>0</v>
      </c>
      <c r="F134" s="22">
        <v>0</v>
      </c>
      <c r="G134" s="22">
        <v>0</v>
      </c>
      <c r="H134" s="22">
        <v>0</v>
      </c>
      <c r="I134" s="23">
        <v>0</v>
      </c>
      <c r="J134" s="23">
        <v>0</v>
      </c>
      <c r="K134" s="23">
        <v>2882.4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9">
        <f t="shared" si="17"/>
        <v>2882.4</v>
      </c>
      <c r="R134" s="16"/>
      <c r="S134" s="16"/>
    </row>
    <row r="135" spans="1:19" x14ac:dyDescent="0.25">
      <c r="A135" s="13"/>
      <c r="B135" s="19">
        <v>2036701357</v>
      </c>
      <c r="C135" s="20" t="s">
        <v>181</v>
      </c>
      <c r="D135" s="15"/>
      <c r="E135" s="22">
        <v>0</v>
      </c>
      <c r="F135" s="22">
        <v>0</v>
      </c>
      <c r="G135" s="22">
        <v>0</v>
      </c>
      <c r="H135" s="22">
        <v>0</v>
      </c>
      <c r="I135" s="23">
        <v>0</v>
      </c>
      <c r="J135" s="23">
        <v>0</v>
      </c>
      <c r="K135" s="23">
        <v>24161.74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9">
        <f t="shared" si="17"/>
        <v>24161.74</v>
      </c>
      <c r="R135" s="16"/>
      <c r="S135" s="16"/>
    </row>
    <row r="136" spans="1:19" x14ac:dyDescent="0.25">
      <c r="A136" s="13"/>
      <c r="B136" s="19">
        <v>2740019652</v>
      </c>
      <c r="C136" s="20" t="s">
        <v>182</v>
      </c>
      <c r="D136" s="15"/>
      <c r="E136" s="22">
        <v>0</v>
      </c>
      <c r="F136" s="22">
        <v>0</v>
      </c>
      <c r="G136" s="22">
        <v>0</v>
      </c>
      <c r="H136" s="22">
        <v>0</v>
      </c>
      <c r="I136" s="23">
        <v>0</v>
      </c>
      <c r="J136" s="23">
        <v>0</v>
      </c>
      <c r="K136" s="23">
        <v>958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9">
        <f t="shared" si="17"/>
        <v>958</v>
      </c>
      <c r="R136" s="16"/>
      <c r="S136" s="16"/>
    </row>
    <row r="137" spans="1:19" x14ac:dyDescent="0.25">
      <c r="A137" s="13"/>
      <c r="B137" s="19">
        <v>2739443013</v>
      </c>
      <c r="C137" s="20" t="s">
        <v>183</v>
      </c>
      <c r="D137" s="15"/>
      <c r="E137" s="22">
        <v>0</v>
      </c>
      <c r="F137" s="22">
        <v>0</v>
      </c>
      <c r="G137" s="22">
        <v>0</v>
      </c>
      <c r="H137" s="22">
        <v>0</v>
      </c>
      <c r="I137" s="23">
        <v>0</v>
      </c>
      <c r="J137" s="23">
        <v>0</v>
      </c>
      <c r="K137" s="23">
        <v>1334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9">
        <f t="shared" si="17"/>
        <v>1334</v>
      </c>
      <c r="R137" s="16"/>
      <c r="S137" s="16"/>
    </row>
    <row r="138" spans="1:19" x14ac:dyDescent="0.25">
      <c r="A138" s="13"/>
      <c r="B138" s="19">
        <v>1932613473</v>
      </c>
      <c r="C138" s="20" t="s">
        <v>184</v>
      </c>
      <c r="D138" s="15"/>
      <c r="E138" s="22">
        <v>0</v>
      </c>
      <c r="F138" s="22">
        <v>0</v>
      </c>
      <c r="G138" s="22">
        <v>0</v>
      </c>
      <c r="H138" s="22">
        <v>0</v>
      </c>
      <c r="I138" s="23">
        <v>0</v>
      </c>
      <c r="J138" s="23">
        <v>0</v>
      </c>
      <c r="K138" s="23">
        <v>0</v>
      </c>
      <c r="L138" s="23">
        <v>2766.71</v>
      </c>
      <c r="M138" s="23">
        <v>0</v>
      </c>
      <c r="N138" s="23">
        <v>0</v>
      </c>
      <c r="O138" s="23">
        <v>0</v>
      </c>
      <c r="P138" s="23">
        <v>0</v>
      </c>
      <c r="Q138" s="29">
        <f t="shared" si="17"/>
        <v>2766.71</v>
      </c>
      <c r="R138" s="16"/>
      <c r="S138" s="16"/>
    </row>
    <row r="139" spans="1:19" x14ac:dyDescent="0.25">
      <c r="A139" s="13"/>
      <c r="B139" s="19">
        <v>2955221694</v>
      </c>
      <c r="C139" s="20" t="s">
        <v>185</v>
      </c>
      <c r="D139" s="15"/>
      <c r="E139" s="22">
        <v>0</v>
      </c>
      <c r="F139" s="22">
        <v>0</v>
      </c>
      <c r="G139" s="22">
        <v>0</v>
      </c>
      <c r="H139" s="22">
        <v>0</v>
      </c>
      <c r="I139" s="23">
        <v>0</v>
      </c>
      <c r="J139" s="23">
        <v>0</v>
      </c>
      <c r="K139" s="23">
        <v>0</v>
      </c>
      <c r="L139" s="23">
        <v>743.9</v>
      </c>
      <c r="M139" s="23">
        <v>0</v>
      </c>
      <c r="N139" s="23">
        <v>0</v>
      </c>
      <c r="O139" s="23">
        <v>0</v>
      </c>
      <c r="P139" s="23">
        <v>0</v>
      </c>
      <c r="Q139" s="29">
        <f t="shared" si="17"/>
        <v>743.9</v>
      </c>
      <c r="R139" s="16"/>
      <c r="S139" s="16"/>
    </row>
    <row r="140" spans="1:19" x14ac:dyDescent="0.25">
      <c r="A140" s="13"/>
      <c r="B140" s="19">
        <v>2434703135</v>
      </c>
      <c r="C140" s="20" t="s">
        <v>186</v>
      </c>
      <c r="D140" s="15"/>
      <c r="E140" s="22">
        <v>0</v>
      </c>
      <c r="F140" s="22">
        <v>0</v>
      </c>
      <c r="G140" s="22">
        <v>0</v>
      </c>
      <c r="H140" s="22">
        <v>0</v>
      </c>
      <c r="I140" s="23">
        <v>0</v>
      </c>
      <c r="J140" s="23">
        <v>0</v>
      </c>
      <c r="K140" s="23">
        <v>0</v>
      </c>
      <c r="L140" s="23">
        <v>3941.16</v>
      </c>
      <c r="M140" s="23">
        <v>0</v>
      </c>
      <c r="N140" s="23">
        <v>0</v>
      </c>
      <c r="O140" s="23">
        <v>0</v>
      </c>
      <c r="P140" s="23">
        <v>0</v>
      </c>
      <c r="Q140" s="29">
        <f t="shared" si="17"/>
        <v>3941.16</v>
      </c>
      <c r="R140" s="16"/>
      <c r="S140" s="16"/>
    </row>
    <row r="141" spans="1:19" x14ac:dyDescent="0.25">
      <c r="A141" s="13"/>
      <c r="B141" s="19">
        <v>2776007517</v>
      </c>
      <c r="C141" s="20" t="s">
        <v>187</v>
      </c>
      <c r="D141" s="15"/>
      <c r="E141" s="22">
        <v>0</v>
      </c>
      <c r="F141" s="22">
        <v>0</v>
      </c>
      <c r="G141" s="22">
        <v>0</v>
      </c>
      <c r="H141" s="22">
        <v>0</v>
      </c>
      <c r="I141" s="23">
        <v>0</v>
      </c>
      <c r="J141" s="23">
        <v>0</v>
      </c>
      <c r="K141" s="23">
        <v>0</v>
      </c>
      <c r="L141" s="23">
        <v>11821.92</v>
      </c>
      <c r="M141" s="23">
        <v>0</v>
      </c>
      <c r="N141" s="23">
        <v>0</v>
      </c>
      <c r="O141" s="23">
        <v>0</v>
      </c>
      <c r="P141" s="23">
        <v>0</v>
      </c>
      <c r="Q141" s="29">
        <f t="shared" si="17"/>
        <v>11821.92</v>
      </c>
      <c r="R141" s="16"/>
      <c r="S141" s="16"/>
    </row>
    <row r="142" spans="1:19" x14ac:dyDescent="0.25">
      <c r="A142" s="13"/>
      <c r="B142" s="19">
        <v>2716623959</v>
      </c>
      <c r="C142" s="20" t="s">
        <v>188</v>
      </c>
      <c r="D142" s="15"/>
      <c r="E142" s="22">
        <v>0</v>
      </c>
      <c r="F142" s="22">
        <v>0</v>
      </c>
      <c r="G142" s="22">
        <v>0</v>
      </c>
      <c r="H142" s="22">
        <v>0</v>
      </c>
      <c r="I142" s="23">
        <v>0</v>
      </c>
      <c r="J142" s="23">
        <v>0</v>
      </c>
      <c r="K142" s="23">
        <v>0</v>
      </c>
      <c r="L142" s="23">
        <v>628177.74</v>
      </c>
      <c r="M142" s="23">
        <v>0</v>
      </c>
      <c r="N142" s="23">
        <v>0</v>
      </c>
      <c r="O142" s="23">
        <v>0</v>
      </c>
      <c r="P142" s="23">
        <v>0</v>
      </c>
      <c r="Q142" s="29">
        <f t="shared" si="17"/>
        <v>628177.74</v>
      </c>
      <c r="R142" s="16"/>
      <c r="S142" s="16"/>
    </row>
    <row r="143" spans="1:19" x14ac:dyDescent="0.25">
      <c r="A143" s="13"/>
      <c r="B143" s="19">
        <v>1861304127</v>
      </c>
      <c r="C143" s="20" t="s">
        <v>189</v>
      </c>
      <c r="D143" s="15"/>
      <c r="E143" s="22">
        <v>0</v>
      </c>
      <c r="F143" s="22">
        <v>0</v>
      </c>
      <c r="G143" s="22">
        <v>0</v>
      </c>
      <c r="H143" s="22">
        <v>0</v>
      </c>
      <c r="I143" s="23">
        <v>0</v>
      </c>
      <c r="J143" s="23">
        <v>0</v>
      </c>
      <c r="K143" s="23">
        <v>0</v>
      </c>
      <c r="L143" s="23">
        <v>1753</v>
      </c>
      <c r="M143" s="23">
        <v>0</v>
      </c>
      <c r="N143" s="23">
        <v>0</v>
      </c>
      <c r="O143" s="23">
        <v>0</v>
      </c>
      <c r="P143" s="23">
        <v>20</v>
      </c>
      <c r="Q143" s="29">
        <f t="shared" si="17"/>
        <v>1773</v>
      </c>
      <c r="R143" s="16"/>
      <c r="S143" s="16"/>
    </row>
    <row r="144" spans="1:19" x14ac:dyDescent="0.25">
      <c r="A144" s="13"/>
      <c r="B144" s="19" t="s">
        <v>190</v>
      </c>
      <c r="C144" s="20" t="s">
        <v>191</v>
      </c>
      <c r="D144" s="15"/>
      <c r="E144" s="22">
        <v>0</v>
      </c>
      <c r="F144" s="22">
        <v>0</v>
      </c>
      <c r="G144" s="22">
        <v>0</v>
      </c>
      <c r="H144" s="22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9000</v>
      </c>
      <c r="N144" s="23">
        <v>0</v>
      </c>
      <c r="O144" s="23">
        <v>0</v>
      </c>
      <c r="P144" s="23">
        <v>0</v>
      </c>
      <c r="Q144" s="29">
        <f t="shared" si="17"/>
        <v>9000</v>
      </c>
      <c r="R144" s="16"/>
      <c r="S144" s="16"/>
    </row>
    <row r="145" spans="1:19" x14ac:dyDescent="0.25">
      <c r="A145" s="13"/>
      <c r="B145" s="19">
        <v>2231205634</v>
      </c>
      <c r="C145" s="20" t="s">
        <v>192</v>
      </c>
      <c r="D145" s="15"/>
      <c r="E145" s="22">
        <v>0</v>
      </c>
      <c r="F145" s="22">
        <v>0</v>
      </c>
      <c r="G145" s="22">
        <v>0</v>
      </c>
      <c r="H145" s="22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3555.54</v>
      </c>
      <c r="N145" s="23">
        <v>0</v>
      </c>
      <c r="O145" s="23">
        <v>0</v>
      </c>
      <c r="P145" s="23">
        <v>0</v>
      </c>
      <c r="Q145" s="29">
        <f t="shared" si="17"/>
        <v>3555.54</v>
      </c>
      <c r="R145" s="16"/>
      <c r="S145" s="16"/>
    </row>
    <row r="146" spans="1:19" x14ac:dyDescent="0.25">
      <c r="A146" s="13"/>
      <c r="B146" s="19">
        <v>3056621614</v>
      </c>
      <c r="C146" s="20" t="s">
        <v>193</v>
      </c>
      <c r="D146" s="15"/>
      <c r="E146" s="22">
        <v>0</v>
      </c>
      <c r="F146" s="22">
        <v>0</v>
      </c>
      <c r="G146" s="22">
        <v>0</v>
      </c>
      <c r="H146" s="22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952.8</v>
      </c>
      <c r="N146" s="23">
        <v>0</v>
      </c>
      <c r="O146" s="23">
        <v>0</v>
      </c>
      <c r="P146" s="23">
        <v>0</v>
      </c>
      <c r="Q146" s="29">
        <f t="shared" si="17"/>
        <v>952.8</v>
      </c>
      <c r="R146" s="16"/>
      <c r="S146" s="16"/>
    </row>
    <row r="147" spans="1:19" x14ac:dyDescent="0.25">
      <c r="A147" s="13"/>
      <c r="B147" s="19">
        <v>1957605741</v>
      </c>
      <c r="C147" s="20" t="s">
        <v>194</v>
      </c>
      <c r="D147" s="15"/>
      <c r="E147" s="22">
        <v>0</v>
      </c>
      <c r="F147" s="22">
        <v>0</v>
      </c>
      <c r="G147" s="22">
        <v>0</v>
      </c>
      <c r="H147" s="22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6888.64</v>
      </c>
      <c r="N147" s="23">
        <v>0</v>
      </c>
      <c r="O147" s="23">
        <v>0</v>
      </c>
      <c r="P147" s="23">
        <v>0</v>
      </c>
      <c r="Q147" s="29">
        <f t="shared" si="17"/>
        <v>6888.64</v>
      </c>
      <c r="R147" s="16"/>
      <c r="S147" s="16"/>
    </row>
    <row r="148" spans="1:19" x14ac:dyDescent="0.25">
      <c r="A148" s="13"/>
      <c r="B148" s="19">
        <v>2275705735</v>
      </c>
      <c r="C148" s="20" t="s">
        <v>195</v>
      </c>
      <c r="D148" s="15"/>
      <c r="E148" s="22">
        <v>0</v>
      </c>
      <c r="F148" s="22">
        <v>0</v>
      </c>
      <c r="G148" s="22">
        <v>0</v>
      </c>
      <c r="H148" s="22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1440.5</v>
      </c>
      <c r="O148" s="23">
        <v>0</v>
      </c>
      <c r="P148" s="23">
        <v>0</v>
      </c>
      <c r="Q148" s="29">
        <f t="shared" si="17"/>
        <v>1440.5</v>
      </c>
      <c r="R148" s="16"/>
      <c r="S148" s="16"/>
    </row>
    <row r="149" spans="1:19" x14ac:dyDescent="0.2">
      <c r="A149" s="13"/>
      <c r="B149" s="19">
        <v>2657609717</v>
      </c>
      <c r="C149" s="31" t="s">
        <v>196</v>
      </c>
      <c r="D149" s="15"/>
      <c r="E149" s="23">
        <v>0</v>
      </c>
      <c r="F149" s="23">
        <v>0</v>
      </c>
      <c r="G149" s="23">
        <v>0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2720.5</v>
      </c>
      <c r="P149" s="23">
        <v>0</v>
      </c>
      <c r="Q149" s="29">
        <f t="shared" si="17"/>
        <v>2720.5</v>
      </c>
      <c r="R149" s="16"/>
      <c r="S149" s="16"/>
    </row>
    <row r="150" spans="1:19" s="33" customFormat="1" x14ac:dyDescent="0.25">
      <c r="A150" s="30"/>
      <c r="B150" s="19">
        <v>3045625031</v>
      </c>
      <c r="C150" s="31" t="s">
        <v>197</v>
      </c>
      <c r="D150" s="23"/>
      <c r="E150" s="23">
        <v>0</v>
      </c>
      <c r="F150" s="23">
        <v>0</v>
      </c>
      <c r="G150" s="23">
        <v>0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3652</v>
      </c>
      <c r="Q150" s="29">
        <f t="shared" si="17"/>
        <v>3652</v>
      </c>
      <c r="R150" s="32"/>
      <c r="S150" s="32"/>
    </row>
    <row r="151" spans="1:19" x14ac:dyDescent="0.25">
      <c r="A151" s="13">
        <v>0</v>
      </c>
      <c r="B151" s="13" t="s">
        <v>40</v>
      </c>
      <c r="C151" s="14" t="s">
        <v>41</v>
      </c>
      <c r="D151" s="15">
        <v>2000</v>
      </c>
      <c r="E151" s="18">
        <v>0</v>
      </c>
      <c r="F151" s="18">
        <f t="shared" ref="F151:O151" si="18">F152</f>
        <v>135</v>
      </c>
      <c r="G151" s="18">
        <f t="shared" si="18"/>
        <v>0</v>
      </c>
      <c r="H151" s="18">
        <f t="shared" si="18"/>
        <v>0</v>
      </c>
      <c r="I151" s="18">
        <f t="shared" si="18"/>
        <v>177.81</v>
      </c>
      <c r="J151" s="18">
        <f t="shared" si="18"/>
        <v>0</v>
      </c>
      <c r="K151" s="18">
        <f t="shared" si="18"/>
        <v>0</v>
      </c>
      <c r="L151" s="18">
        <f t="shared" si="18"/>
        <v>0</v>
      </c>
      <c r="M151" s="18">
        <f t="shared" si="18"/>
        <v>0</v>
      </c>
      <c r="N151" s="18">
        <f t="shared" si="18"/>
        <v>0</v>
      </c>
      <c r="O151" s="18">
        <f t="shared" si="18"/>
        <v>0</v>
      </c>
      <c r="P151" s="18">
        <f>SUM(P152:P153)</f>
        <v>36500</v>
      </c>
      <c r="Q151" s="29">
        <v>36812.81</v>
      </c>
      <c r="R151" s="16">
        <f t="shared" si="1"/>
        <v>34812.81</v>
      </c>
      <c r="S151" s="16">
        <f t="shared" si="2"/>
        <v>1840.6405</v>
      </c>
    </row>
    <row r="152" spans="1:19" x14ac:dyDescent="0.25">
      <c r="A152" s="13"/>
      <c r="B152" s="19">
        <v>5461266</v>
      </c>
      <c r="C152" s="20" t="s">
        <v>198</v>
      </c>
      <c r="D152" s="15"/>
      <c r="E152" s="22">
        <v>0</v>
      </c>
      <c r="F152" s="22">
        <v>135</v>
      </c>
      <c r="G152" s="22">
        <v>0</v>
      </c>
      <c r="H152" s="22">
        <v>0</v>
      </c>
      <c r="I152" s="23">
        <v>177.81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9">
        <f>SUM(E152:P152)</f>
        <v>312.81</v>
      </c>
      <c r="R152" s="16"/>
      <c r="S152" s="16"/>
    </row>
    <row r="153" spans="1:19" x14ac:dyDescent="0.25">
      <c r="A153" s="13"/>
      <c r="B153" s="19">
        <v>41400821</v>
      </c>
      <c r="C153" s="20" t="s">
        <v>119</v>
      </c>
      <c r="D153" s="15"/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3">
        <v>36500</v>
      </c>
      <c r="Q153" s="29">
        <f>SUM(E153:P153)</f>
        <v>36500</v>
      </c>
      <c r="R153" s="16"/>
      <c r="S153" s="16"/>
    </row>
    <row r="154" spans="1:19" x14ac:dyDescent="0.25">
      <c r="A154" s="13">
        <v>0</v>
      </c>
      <c r="B154" s="13" t="s">
        <v>42</v>
      </c>
      <c r="C154" s="14" t="s">
        <v>43</v>
      </c>
      <c r="D154" s="15">
        <v>1000000</v>
      </c>
      <c r="E154" s="18">
        <v>47898</v>
      </c>
      <c r="F154" s="18">
        <f>SUM(F155:F194)</f>
        <v>211776.1</v>
      </c>
      <c r="G154" s="18">
        <f>SUM(G155:G194)</f>
        <v>34717.379999999997</v>
      </c>
      <c r="H154" s="18">
        <f>SUM(H155:H194)</f>
        <v>48701.5</v>
      </c>
      <c r="I154" s="18">
        <f>SUM(I155:I196)</f>
        <v>305933.71000000002</v>
      </c>
      <c r="J154" s="18">
        <f>SUM(J155:J205)</f>
        <v>38991.93</v>
      </c>
      <c r="K154" s="18">
        <f>SUM(K155:K212)</f>
        <v>65432.800000000003</v>
      </c>
      <c r="L154" s="18">
        <f>SUM(L155:L218)</f>
        <v>162590.22999999998</v>
      </c>
      <c r="M154" s="18">
        <f>SUM(M155:M219)</f>
        <v>41207.300000000003</v>
      </c>
      <c r="N154" s="18">
        <f>SUM(N155:N221)</f>
        <v>71064.959999999992</v>
      </c>
      <c r="O154" s="18">
        <f>SUM(O155:O221)</f>
        <v>104114.7</v>
      </c>
      <c r="P154" s="18">
        <f>SUM(P155:P222)</f>
        <v>53371.75</v>
      </c>
      <c r="Q154" s="29">
        <v>1185800.3600000001</v>
      </c>
      <c r="R154" s="16">
        <f t="shared" si="1"/>
        <v>185800.3600000001</v>
      </c>
      <c r="S154" s="16">
        <f t="shared" si="2"/>
        <v>118.58003600000001</v>
      </c>
    </row>
    <row r="155" spans="1:19" x14ac:dyDescent="0.25">
      <c r="A155" s="13"/>
      <c r="B155" s="19">
        <v>2340204644</v>
      </c>
      <c r="C155" s="20" t="s">
        <v>199</v>
      </c>
      <c r="D155" s="15"/>
      <c r="E155" s="22">
        <v>1200</v>
      </c>
      <c r="F155" s="22">
        <v>1200</v>
      </c>
      <c r="G155" s="22">
        <v>1200</v>
      </c>
      <c r="H155" s="22">
        <v>1200</v>
      </c>
      <c r="I155" s="23">
        <v>1200</v>
      </c>
      <c r="J155" s="23">
        <v>1200</v>
      </c>
      <c r="K155" s="23">
        <v>0</v>
      </c>
      <c r="L155" s="23">
        <v>1200</v>
      </c>
      <c r="M155" s="23">
        <v>1200</v>
      </c>
      <c r="N155" s="23">
        <v>1200</v>
      </c>
      <c r="O155" s="23">
        <v>1200</v>
      </c>
      <c r="P155" s="23">
        <v>1200</v>
      </c>
      <c r="Q155" s="29">
        <f>SUM(E155:P155)</f>
        <v>13200</v>
      </c>
      <c r="R155" s="16"/>
      <c r="S155" s="16"/>
    </row>
    <row r="156" spans="1:19" x14ac:dyDescent="0.25">
      <c r="A156" s="13"/>
      <c r="B156" s="19">
        <v>2031418870</v>
      </c>
      <c r="C156" s="20" t="s">
        <v>200</v>
      </c>
      <c r="D156" s="15"/>
      <c r="E156" s="22">
        <v>944.6</v>
      </c>
      <c r="F156" s="22">
        <v>944.6</v>
      </c>
      <c r="G156" s="22">
        <v>944.6</v>
      </c>
      <c r="H156" s="22">
        <v>944.6</v>
      </c>
      <c r="I156" s="22">
        <v>944.6</v>
      </c>
      <c r="J156" s="22">
        <v>944.6</v>
      </c>
      <c r="K156" s="22">
        <v>4644.6000000000004</v>
      </c>
      <c r="L156" s="23">
        <v>0</v>
      </c>
      <c r="M156" s="23">
        <v>1200</v>
      </c>
      <c r="N156" s="23">
        <v>1200</v>
      </c>
      <c r="O156" s="23">
        <v>1200</v>
      </c>
      <c r="P156" s="23">
        <v>1200</v>
      </c>
      <c r="Q156" s="29">
        <f t="shared" ref="Q156:Q219" si="19">SUM(E156:P156)</f>
        <v>15112.2</v>
      </c>
      <c r="R156" s="16"/>
      <c r="S156" s="16"/>
    </row>
    <row r="157" spans="1:19" x14ac:dyDescent="0.25">
      <c r="A157" s="13"/>
      <c r="B157" s="19">
        <v>1880905818</v>
      </c>
      <c r="C157" s="20" t="s">
        <v>201</v>
      </c>
      <c r="D157" s="15"/>
      <c r="E157" s="22">
        <v>1200</v>
      </c>
      <c r="F157" s="22">
        <v>1200</v>
      </c>
      <c r="G157" s="22">
        <v>1196</v>
      </c>
      <c r="H157" s="22">
        <v>1200</v>
      </c>
      <c r="I157" s="23">
        <v>1200</v>
      </c>
      <c r="J157" s="23">
        <v>1200</v>
      </c>
      <c r="K157" s="23">
        <v>1200</v>
      </c>
      <c r="L157" s="23">
        <v>1200</v>
      </c>
      <c r="M157" s="23">
        <v>1200</v>
      </c>
      <c r="N157" s="23">
        <v>1200</v>
      </c>
      <c r="O157" s="23">
        <v>1500</v>
      </c>
      <c r="P157" s="23">
        <v>900</v>
      </c>
      <c r="Q157" s="29">
        <f t="shared" si="19"/>
        <v>14396</v>
      </c>
      <c r="R157" s="16"/>
      <c r="S157" s="16"/>
    </row>
    <row r="158" spans="1:19" x14ac:dyDescent="0.25">
      <c r="A158" s="13"/>
      <c r="B158" s="19">
        <v>2581703010</v>
      </c>
      <c r="C158" s="20" t="s">
        <v>202</v>
      </c>
      <c r="D158" s="15"/>
      <c r="E158" s="22">
        <v>1200</v>
      </c>
      <c r="F158" s="22">
        <v>1200</v>
      </c>
      <c r="G158" s="22">
        <v>1200</v>
      </c>
      <c r="H158" s="22">
        <v>1200</v>
      </c>
      <c r="I158" s="23">
        <v>1200</v>
      </c>
      <c r="J158" s="23">
        <v>1200</v>
      </c>
      <c r="K158" s="23">
        <v>1200</v>
      </c>
      <c r="L158" s="23">
        <v>1200</v>
      </c>
      <c r="M158" s="23">
        <v>1200</v>
      </c>
      <c r="N158" s="23">
        <v>1200</v>
      </c>
      <c r="O158" s="23">
        <v>1200</v>
      </c>
      <c r="P158" s="23">
        <v>1200</v>
      </c>
      <c r="Q158" s="29">
        <f t="shared" si="19"/>
        <v>14400</v>
      </c>
      <c r="R158" s="16"/>
      <c r="S158" s="16"/>
    </row>
    <row r="159" spans="1:19" x14ac:dyDescent="0.25">
      <c r="A159" s="13"/>
      <c r="B159" s="19">
        <v>2701212688</v>
      </c>
      <c r="C159" s="20" t="s">
        <v>203</v>
      </c>
      <c r="D159" s="15"/>
      <c r="E159" s="22">
        <v>1200</v>
      </c>
      <c r="F159" s="22">
        <v>1200</v>
      </c>
      <c r="G159" s="22">
        <v>1200</v>
      </c>
      <c r="H159" s="22">
        <v>1200</v>
      </c>
      <c r="I159" s="23">
        <v>1200</v>
      </c>
      <c r="J159" s="23">
        <v>1200</v>
      </c>
      <c r="K159" s="23">
        <v>1200</v>
      </c>
      <c r="L159" s="23">
        <v>1200</v>
      </c>
      <c r="M159" s="23">
        <v>1200</v>
      </c>
      <c r="N159" s="23">
        <v>1200</v>
      </c>
      <c r="O159" s="23">
        <v>1200</v>
      </c>
      <c r="P159" s="23">
        <v>1200</v>
      </c>
      <c r="Q159" s="29">
        <f t="shared" si="19"/>
        <v>14400</v>
      </c>
      <c r="R159" s="16"/>
      <c r="S159" s="16"/>
    </row>
    <row r="160" spans="1:19" x14ac:dyDescent="0.25">
      <c r="A160" s="13"/>
      <c r="B160" s="19">
        <v>3288019510</v>
      </c>
      <c r="C160" s="20" t="s">
        <v>204</v>
      </c>
      <c r="D160" s="15"/>
      <c r="E160" s="22">
        <v>4600</v>
      </c>
      <c r="F160" s="22">
        <v>0</v>
      </c>
      <c r="G160" s="22">
        <v>0</v>
      </c>
      <c r="H160" s="22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9100</v>
      </c>
      <c r="O160" s="23">
        <v>0</v>
      </c>
      <c r="P160" s="23">
        <v>0</v>
      </c>
      <c r="Q160" s="29">
        <f t="shared" si="19"/>
        <v>13700</v>
      </c>
      <c r="R160" s="16"/>
      <c r="S160" s="16"/>
    </row>
    <row r="161" spans="1:19" x14ac:dyDescent="0.25">
      <c r="A161" s="13"/>
      <c r="B161" s="19">
        <v>2242904518</v>
      </c>
      <c r="C161" s="20" t="s">
        <v>101</v>
      </c>
      <c r="D161" s="15"/>
      <c r="E161" s="22">
        <v>1200</v>
      </c>
      <c r="F161" s="22">
        <v>1200</v>
      </c>
      <c r="G161" s="22">
        <v>1200</v>
      </c>
      <c r="H161" s="22">
        <v>1200</v>
      </c>
      <c r="I161" s="23">
        <v>1200</v>
      </c>
      <c r="J161" s="23">
        <v>1200</v>
      </c>
      <c r="K161" s="23">
        <v>1200</v>
      </c>
      <c r="L161" s="23">
        <v>1200</v>
      </c>
      <c r="M161" s="23">
        <v>1200</v>
      </c>
      <c r="N161" s="23">
        <v>1200</v>
      </c>
      <c r="O161" s="23">
        <v>1200</v>
      </c>
      <c r="P161" s="23">
        <v>1200</v>
      </c>
      <c r="Q161" s="29">
        <f t="shared" si="19"/>
        <v>14400</v>
      </c>
      <c r="R161" s="16"/>
      <c r="S161" s="16"/>
    </row>
    <row r="162" spans="1:19" x14ac:dyDescent="0.25">
      <c r="A162" s="13"/>
      <c r="B162" s="19">
        <v>2690103249</v>
      </c>
      <c r="C162" s="20" t="s">
        <v>205</v>
      </c>
      <c r="D162" s="15"/>
      <c r="E162" s="22">
        <v>1200</v>
      </c>
      <c r="F162" s="22">
        <v>1200</v>
      </c>
      <c r="G162" s="22">
        <v>1200</v>
      </c>
      <c r="H162" s="22">
        <v>1200</v>
      </c>
      <c r="I162" s="23">
        <v>1200</v>
      </c>
      <c r="J162" s="23">
        <v>1200</v>
      </c>
      <c r="K162" s="23">
        <v>1200</v>
      </c>
      <c r="L162" s="23">
        <v>1200</v>
      </c>
      <c r="M162" s="23">
        <v>1200</v>
      </c>
      <c r="N162" s="23">
        <v>1200</v>
      </c>
      <c r="O162" s="23">
        <v>1200</v>
      </c>
      <c r="P162" s="23">
        <v>1200</v>
      </c>
      <c r="Q162" s="29">
        <f t="shared" si="19"/>
        <v>14400</v>
      </c>
      <c r="R162" s="16"/>
      <c r="S162" s="16"/>
    </row>
    <row r="163" spans="1:19" x14ac:dyDescent="0.25">
      <c r="A163" s="13"/>
      <c r="B163" s="19">
        <v>2966113026</v>
      </c>
      <c r="C163" s="20" t="s">
        <v>206</v>
      </c>
      <c r="D163" s="15"/>
      <c r="E163" s="22">
        <v>1200</v>
      </c>
      <c r="F163" s="22">
        <v>1200</v>
      </c>
      <c r="G163" s="22">
        <v>1200</v>
      </c>
      <c r="H163" s="22">
        <v>1200</v>
      </c>
      <c r="I163" s="23">
        <v>1200</v>
      </c>
      <c r="J163" s="23">
        <v>1200</v>
      </c>
      <c r="K163" s="23">
        <v>1200</v>
      </c>
      <c r="L163" s="23">
        <v>1200</v>
      </c>
      <c r="M163" s="23">
        <v>1200</v>
      </c>
      <c r="N163" s="23">
        <v>1200</v>
      </c>
      <c r="O163" s="23">
        <v>0</v>
      </c>
      <c r="P163" s="23">
        <v>0</v>
      </c>
      <c r="Q163" s="29">
        <f t="shared" si="19"/>
        <v>12000</v>
      </c>
      <c r="R163" s="16"/>
      <c r="S163" s="16"/>
    </row>
    <row r="164" spans="1:19" x14ac:dyDescent="0.25">
      <c r="A164" s="13"/>
      <c r="B164" s="19">
        <v>3439202986</v>
      </c>
      <c r="C164" s="20" t="s">
        <v>207</v>
      </c>
      <c r="D164" s="15"/>
      <c r="E164" s="22">
        <v>1200</v>
      </c>
      <c r="F164" s="22">
        <v>1200</v>
      </c>
      <c r="G164" s="22">
        <v>1200</v>
      </c>
      <c r="H164" s="22">
        <v>1200</v>
      </c>
      <c r="I164" s="23">
        <v>1200</v>
      </c>
      <c r="J164" s="23">
        <v>1200</v>
      </c>
      <c r="K164" s="23">
        <v>1200</v>
      </c>
      <c r="L164" s="23">
        <v>1200</v>
      </c>
      <c r="M164" s="23">
        <v>1200</v>
      </c>
      <c r="N164" s="23">
        <v>1200</v>
      </c>
      <c r="O164" s="23">
        <v>1200</v>
      </c>
      <c r="P164" s="23">
        <v>1200</v>
      </c>
      <c r="Q164" s="29">
        <f t="shared" si="19"/>
        <v>14400</v>
      </c>
      <c r="R164" s="16"/>
      <c r="S164" s="16"/>
    </row>
    <row r="165" spans="1:19" x14ac:dyDescent="0.25">
      <c r="A165" s="13"/>
      <c r="B165" s="19">
        <v>2977821894</v>
      </c>
      <c r="C165" s="20" t="s">
        <v>208</v>
      </c>
      <c r="D165" s="15"/>
      <c r="E165" s="22">
        <v>1200</v>
      </c>
      <c r="F165" s="22">
        <v>0</v>
      </c>
      <c r="G165" s="22">
        <v>1200</v>
      </c>
      <c r="H165" s="22">
        <v>1200</v>
      </c>
      <c r="I165" s="23">
        <v>1200</v>
      </c>
      <c r="J165" s="23">
        <v>1200</v>
      </c>
      <c r="K165" s="23">
        <v>1200</v>
      </c>
      <c r="L165" s="23">
        <v>1200</v>
      </c>
      <c r="M165" s="23">
        <v>1200</v>
      </c>
      <c r="N165" s="23">
        <v>1200</v>
      </c>
      <c r="O165" s="23">
        <v>1200</v>
      </c>
      <c r="P165" s="23">
        <v>1200</v>
      </c>
      <c r="Q165" s="29">
        <f t="shared" si="19"/>
        <v>13200</v>
      </c>
      <c r="R165" s="16"/>
      <c r="S165" s="16"/>
    </row>
    <row r="166" spans="1:19" x14ac:dyDescent="0.25">
      <c r="A166" s="13"/>
      <c r="B166" s="19">
        <v>3304309803</v>
      </c>
      <c r="C166" s="20" t="s">
        <v>105</v>
      </c>
      <c r="D166" s="15"/>
      <c r="E166" s="22">
        <v>1200</v>
      </c>
      <c r="F166" s="22">
        <v>2400</v>
      </c>
      <c r="G166" s="22">
        <v>1200</v>
      </c>
      <c r="H166" s="22">
        <v>1200</v>
      </c>
      <c r="I166" s="23">
        <v>1200</v>
      </c>
      <c r="J166" s="23">
        <v>1200</v>
      </c>
      <c r="K166" s="23">
        <v>1200</v>
      </c>
      <c r="L166" s="23">
        <v>1200</v>
      </c>
      <c r="M166" s="23">
        <v>1200</v>
      </c>
      <c r="N166" s="23">
        <v>1200</v>
      </c>
      <c r="O166" s="23">
        <v>1200</v>
      </c>
      <c r="P166" s="23">
        <v>1200</v>
      </c>
      <c r="Q166" s="29">
        <f t="shared" si="19"/>
        <v>15600</v>
      </c>
      <c r="R166" s="16"/>
      <c r="S166" s="16"/>
    </row>
    <row r="167" spans="1:19" x14ac:dyDescent="0.25">
      <c r="A167" s="13"/>
      <c r="B167" s="19">
        <v>3322214525</v>
      </c>
      <c r="C167" s="20" t="s">
        <v>209</v>
      </c>
      <c r="D167" s="15"/>
      <c r="E167" s="22">
        <v>1200</v>
      </c>
      <c r="F167" s="22">
        <v>1200</v>
      </c>
      <c r="G167" s="22">
        <v>1200</v>
      </c>
      <c r="H167" s="22">
        <v>1200</v>
      </c>
      <c r="I167" s="23">
        <v>1200</v>
      </c>
      <c r="J167" s="23">
        <v>1200</v>
      </c>
      <c r="K167" s="23">
        <v>1200</v>
      </c>
      <c r="L167" s="23">
        <v>1200</v>
      </c>
      <c r="M167" s="23">
        <v>1200</v>
      </c>
      <c r="N167" s="23">
        <v>1200</v>
      </c>
      <c r="O167" s="23">
        <v>1200</v>
      </c>
      <c r="P167" s="23">
        <v>1200</v>
      </c>
      <c r="Q167" s="29">
        <f t="shared" si="19"/>
        <v>14400</v>
      </c>
      <c r="R167" s="16"/>
      <c r="S167" s="16"/>
    </row>
    <row r="168" spans="1:19" x14ac:dyDescent="0.25">
      <c r="A168" s="13"/>
      <c r="B168" s="19"/>
      <c r="C168" s="20" t="s">
        <v>210</v>
      </c>
      <c r="D168" s="15"/>
      <c r="E168" s="22">
        <v>1200</v>
      </c>
      <c r="F168" s="22">
        <v>1200</v>
      </c>
      <c r="G168" s="22">
        <v>0</v>
      </c>
      <c r="H168" s="22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9">
        <f t="shared" si="19"/>
        <v>2400</v>
      </c>
      <c r="R168" s="16"/>
      <c r="S168" s="16"/>
    </row>
    <row r="169" spans="1:19" x14ac:dyDescent="0.25">
      <c r="A169" s="13"/>
      <c r="B169" s="19">
        <v>2750003221</v>
      </c>
      <c r="C169" s="20" t="s">
        <v>106</v>
      </c>
      <c r="D169" s="15"/>
      <c r="E169" s="22">
        <v>12406</v>
      </c>
      <c r="F169" s="22">
        <v>0</v>
      </c>
      <c r="G169" s="22">
        <v>0</v>
      </c>
      <c r="H169" s="22">
        <v>16167</v>
      </c>
      <c r="I169" s="23">
        <v>0</v>
      </c>
      <c r="J169" s="23">
        <v>0</v>
      </c>
      <c r="K169" s="23">
        <v>15165.93</v>
      </c>
      <c r="L169" s="23">
        <v>0</v>
      </c>
      <c r="M169" s="23">
        <v>0</v>
      </c>
      <c r="N169" s="23">
        <v>10705</v>
      </c>
      <c r="O169" s="23">
        <v>0</v>
      </c>
      <c r="P169" s="23">
        <v>10000</v>
      </c>
      <c r="Q169" s="29">
        <f t="shared" si="19"/>
        <v>64443.93</v>
      </c>
      <c r="R169" s="16"/>
      <c r="S169" s="16"/>
    </row>
    <row r="170" spans="1:19" x14ac:dyDescent="0.25">
      <c r="A170" s="13"/>
      <c r="B170" s="19">
        <v>1975530128</v>
      </c>
      <c r="C170" s="20" t="s">
        <v>211</v>
      </c>
      <c r="D170" s="15"/>
      <c r="E170" s="22">
        <v>1200</v>
      </c>
      <c r="F170" s="22">
        <v>1200</v>
      </c>
      <c r="G170" s="22">
        <v>1200</v>
      </c>
      <c r="H170" s="22">
        <v>1200</v>
      </c>
      <c r="I170" s="23">
        <v>1200</v>
      </c>
      <c r="J170" s="23">
        <v>1200</v>
      </c>
      <c r="K170" s="23">
        <v>1200</v>
      </c>
      <c r="L170" s="23">
        <v>1200</v>
      </c>
      <c r="M170" s="23">
        <v>1200</v>
      </c>
      <c r="N170" s="23">
        <v>1200</v>
      </c>
      <c r="O170" s="23">
        <v>1200</v>
      </c>
      <c r="P170" s="23">
        <v>1200</v>
      </c>
      <c r="Q170" s="29">
        <f t="shared" si="19"/>
        <v>14400</v>
      </c>
      <c r="R170" s="16"/>
      <c r="S170" s="16"/>
    </row>
    <row r="171" spans="1:19" x14ac:dyDescent="0.25">
      <c r="A171" s="13"/>
      <c r="B171" s="19">
        <v>181240</v>
      </c>
      <c r="C171" s="20" t="s">
        <v>212</v>
      </c>
      <c r="D171" s="15"/>
      <c r="E171" s="22">
        <v>1200</v>
      </c>
      <c r="F171" s="22">
        <v>1200</v>
      </c>
      <c r="G171" s="22">
        <v>1200</v>
      </c>
      <c r="H171" s="22">
        <v>1200</v>
      </c>
      <c r="I171" s="23">
        <v>1200</v>
      </c>
      <c r="J171" s="23">
        <v>1200</v>
      </c>
      <c r="K171" s="23">
        <v>1200</v>
      </c>
      <c r="L171" s="23">
        <v>1200</v>
      </c>
      <c r="M171" s="23">
        <v>1200</v>
      </c>
      <c r="N171" s="23">
        <v>1200</v>
      </c>
      <c r="O171" s="23">
        <v>1200</v>
      </c>
      <c r="P171" s="23">
        <v>1200</v>
      </c>
      <c r="Q171" s="29">
        <f t="shared" si="19"/>
        <v>14400</v>
      </c>
      <c r="R171" s="16"/>
      <c r="S171" s="16"/>
    </row>
    <row r="172" spans="1:19" x14ac:dyDescent="0.25">
      <c r="A172" s="13"/>
      <c r="B172" s="19">
        <v>3234120084</v>
      </c>
      <c r="C172" s="20" t="s">
        <v>213</v>
      </c>
      <c r="D172" s="15"/>
      <c r="E172" s="22">
        <v>1200</v>
      </c>
      <c r="F172" s="22">
        <v>1200</v>
      </c>
      <c r="G172" s="22">
        <v>1200</v>
      </c>
      <c r="H172" s="22">
        <v>1006.6</v>
      </c>
      <c r="I172" s="23">
        <v>1330</v>
      </c>
      <c r="J172" s="23">
        <v>1070</v>
      </c>
      <c r="K172" s="23">
        <v>1200</v>
      </c>
      <c r="L172" s="23">
        <v>1320</v>
      </c>
      <c r="M172" s="23">
        <v>1200</v>
      </c>
      <c r="N172" s="23">
        <v>1200</v>
      </c>
      <c r="O172" s="23">
        <v>1200</v>
      </c>
      <c r="P172" s="23">
        <v>1100</v>
      </c>
      <c r="Q172" s="29">
        <f t="shared" si="19"/>
        <v>14226.6</v>
      </c>
      <c r="R172" s="16"/>
      <c r="S172" s="16"/>
    </row>
    <row r="173" spans="1:19" x14ac:dyDescent="0.25">
      <c r="A173" s="13"/>
      <c r="B173" s="19">
        <v>3321515667</v>
      </c>
      <c r="C173" s="20" t="s">
        <v>214</v>
      </c>
      <c r="D173" s="15"/>
      <c r="E173" s="22">
        <v>1200</v>
      </c>
      <c r="F173" s="22">
        <v>1200</v>
      </c>
      <c r="G173" s="22">
        <v>1200</v>
      </c>
      <c r="H173" s="22">
        <v>1200</v>
      </c>
      <c r="I173" s="23">
        <v>1200</v>
      </c>
      <c r="J173" s="23">
        <v>1200</v>
      </c>
      <c r="K173" s="23">
        <v>1430</v>
      </c>
      <c r="L173" s="23">
        <v>1200</v>
      </c>
      <c r="M173" s="23">
        <v>970</v>
      </c>
      <c r="N173" s="23">
        <v>1200</v>
      </c>
      <c r="O173" s="23">
        <v>1200</v>
      </c>
      <c r="P173" s="23">
        <v>1200</v>
      </c>
      <c r="Q173" s="29">
        <f t="shared" si="19"/>
        <v>14400</v>
      </c>
      <c r="R173" s="16"/>
      <c r="S173" s="16"/>
    </row>
    <row r="174" spans="1:19" x14ac:dyDescent="0.25">
      <c r="A174" s="13"/>
      <c r="B174" s="19">
        <v>1960014813</v>
      </c>
      <c r="C174" s="20" t="s">
        <v>215</v>
      </c>
      <c r="D174" s="15"/>
      <c r="E174" s="22">
        <v>230</v>
      </c>
      <c r="F174" s="22">
        <v>230</v>
      </c>
      <c r="G174" s="22">
        <v>230</v>
      </c>
      <c r="H174" s="22">
        <v>230</v>
      </c>
      <c r="I174" s="23">
        <v>230</v>
      </c>
      <c r="J174" s="23">
        <v>230</v>
      </c>
      <c r="K174" s="23">
        <v>230</v>
      </c>
      <c r="L174" s="23">
        <v>230</v>
      </c>
      <c r="M174" s="23">
        <v>230</v>
      </c>
      <c r="N174" s="23">
        <v>230</v>
      </c>
      <c r="O174" s="23">
        <v>230</v>
      </c>
      <c r="P174" s="23">
        <v>230</v>
      </c>
      <c r="Q174" s="29">
        <f t="shared" si="19"/>
        <v>2760</v>
      </c>
      <c r="R174" s="16"/>
      <c r="S174" s="16"/>
    </row>
    <row r="175" spans="1:19" x14ac:dyDescent="0.25">
      <c r="A175" s="13"/>
      <c r="B175" s="19">
        <v>2051318347</v>
      </c>
      <c r="C175" s="20" t="s">
        <v>216</v>
      </c>
      <c r="D175" s="15"/>
      <c r="E175" s="22">
        <v>1200</v>
      </c>
      <c r="F175" s="22">
        <v>1200</v>
      </c>
      <c r="G175" s="22">
        <f>1200+1200</f>
        <v>2400</v>
      </c>
      <c r="H175" s="22">
        <v>1200</v>
      </c>
      <c r="I175" s="23">
        <v>1200</v>
      </c>
      <c r="J175" s="23">
        <v>1200</v>
      </c>
      <c r="K175" s="23">
        <v>1200</v>
      </c>
      <c r="L175" s="23">
        <v>1200</v>
      </c>
      <c r="M175" s="23">
        <v>1200</v>
      </c>
      <c r="N175" s="23">
        <v>1200</v>
      </c>
      <c r="O175" s="23">
        <v>1200</v>
      </c>
      <c r="P175" s="23">
        <v>1200</v>
      </c>
      <c r="Q175" s="29">
        <f t="shared" si="19"/>
        <v>15600</v>
      </c>
      <c r="R175" s="16"/>
      <c r="S175" s="16"/>
    </row>
    <row r="176" spans="1:19" x14ac:dyDescent="0.25">
      <c r="A176" s="13"/>
      <c r="B176" s="19">
        <v>2645703929</v>
      </c>
      <c r="C176" s="20" t="s">
        <v>217</v>
      </c>
      <c r="D176" s="15"/>
      <c r="E176" s="22">
        <v>1200</v>
      </c>
      <c r="F176" s="22">
        <v>0</v>
      </c>
      <c r="G176" s="22">
        <v>2400</v>
      </c>
      <c r="H176" s="22">
        <v>1200</v>
      </c>
      <c r="I176" s="23">
        <v>1200</v>
      </c>
      <c r="J176" s="23">
        <v>1200</v>
      </c>
      <c r="K176" s="23">
        <v>1200</v>
      </c>
      <c r="L176" s="23">
        <v>1200</v>
      </c>
      <c r="M176" s="23">
        <v>1200</v>
      </c>
      <c r="N176" s="23">
        <v>0</v>
      </c>
      <c r="O176" s="23">
        <v>2400</v>
      </c>
      <c r="P176" s="23">
        <v>1200</v>
      </c>
      <c r="Q176" s="29">
        <f t="shared" si="19"/>
        <v>14400</v>
      </c>
      <c r="R176" s="16"/>
      <c r="S176" s="16"/>
    </row>
    <row r="177" spans="1:19" x14ac:dyDescent="0.25">
      <c r="A177" s="13"/>
      <c r="B177" s="19">
        <v>2847816633</v>
      </c>
      <c r="C177" s="20" t="s">
        <v>218</v>
      </c>
      <c r="D177" s="15"/>
      <c r="E177" s="22">
        <v>1200</v>
      </c>
      <c r="F177" s="22">
        <v>1200</v>
      </c>
      <c r="G177" s="22">
        <v>1200</v>
      </c>
      <c r="H177" s="22">
        <v>1200</v>
      </c>
      <c r="I177" s="23">
        <v>1200</v>
      </c>
      <c r="J177" s="23">
        <v>1200</v>
      </c>
      <c r="K177" s="23">
        <v>1200</v>
      </c>
      <c r="L177" s="23">
        <v>1200</v>
      </c>
      <c r="M177" s="23">
        <v>1200</v>
      </c>
      <c r="N177" s="23">
        <v>1200</v>
      </c>
      <c r="O177" s="23">
        <v>1200</v>
      </c>
      <c r="P177" s="23">
        <v>1200</v>
      </c>
      <c r="Q177" s="29">
        <f t="shared" si="19"/>
        <v>14400</v>
      </c>
      <c r="R177" s="16"/>
      <c r="S177" s="16"/>
    </row>
    <row r="178" spans="1:19" x14ac:dyDescent="0.25">
      <c r="A178" s="13"/>
      <c r="B178" s="19">
        <v>3491610488</v>
      </c>
      <c r="C178" s="20" t="s">
        <v>219</v>
      </c>
      <c r="D178" s="15"/>
      <c r="E178" s="22">
        <v>1297.4000000000001</v>
      </c>
      <c r="F178" s="22">
        <v>0</v>
      </c>
      <c r="G178" s="22">
        <v>1016.18</v>
      </c>
      <c r="H178" s="22">
        <v>1012.3</v>
      </c>
      <c r="I178" s="23">
        <v>1020.11</v>
      </c>
      <c r="J178" s="23">
        <v>1008.33</v>
      </c>
      <c r="K178" s="23">
        <v>987.23</v>
      </c>
      <c r="L178" s="23">
        <v>995.23</v>
      </c>
      <c r="M178" s="23">
        <v>975.3</v>
      </c>
      <c r="N178" s="23">
        <v>974.96</v>
      </c>
      <c r="O178" s="23">
        <v>964.7</v>
      </c>
      <c r="P178" s="23">
        <v>964.75</v>
      </c>
      <c r="Q178" s="29">
        <f t="shared" si="19"/>
        <v>11216.489999999998</v>
      </c>
      <c r="R178" s="16"/>
      <c r="S178" s="16"/>
    </row>
    <row r="179" spans="1:19" x14ac:dyDescent="0.25">
      <c r="A179" s="13"/>
      <c r="B179" s="19"/>
      <c r="C179" s="20" t="s">
        <v>220</v>
      </c>
      <c r="D179" s="15"/>
      <c r="E179" s="22">
        <v>245</v>
      </c>
      <c r="F179" s="22">
        <v>0</v>
      </c>
      <c r="G179" s="22">
        <v>103</v>
      </c>
      <c r="H179" s="22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9">
        <f t="shared" si="19"/>
        <v>348</v>
      </c>
      <c r="R179" s="16"/>
      <c r="S179" s="16"/>
    </row>
    <row r="180" spans="1:19" x14ac:dyDescent="0.25">
      <c r="A180" s="13"/>
      <c r="B180" s="19">
        <v>2827625114</v>
      </c>
      <c r="C180" s="20" t="s">
        <v>221</v>
      </c>
      <c r="D180" s="15"/>
      <c r="E180" s="22">
        <v>1200</v>
      </c>
      <c r="F180" s="22">
        <v>1200</v>
      </c>
      <c r="G180" s="22">
        <v>1200</v>
      </c>
      <c r="H180" s="22">
        <v>1200</v>
      </c>
      <c r="I180" s="23">
        <v>1200</v>
      </c>
      <c r="J180" s="23">
        <v>1200</v>
      </c>
      <c r="K180" s="23">
        <v>1200</v>
      </c>
      <c r="L180" s="23">
        <v>1200</v>
      </c>
      <c r="M180" s="23">
        <v>1200</v>
      </c>
      <c r="N180" s="23">
        <v>1200</v>
      </c>
      <c r="O180" s="23">
        <v>1200</v>
      </c>
      <c r="P180" s="23">
        <v>1200</v>
      </c>
      <c r="Q180" s="29">
        <f t="shared" si="19"/>
        <v>14400</v>
      </c>
      <c r="R180" s="16"/>
      <c r="S180" s="16"/>
    </row>
    <row r="181" spans="1:19" x14ac:dyDescent="0.25">
      <c r="A181" s="13"/>
      <c r="B181" s="19">
        <v>2466604165</v>
      </c>
      <c r="C181" s="20" t="s">
        <v>222</v>
      </c>
      <c r="D181" s="15"/>
      <c r="E181" s="22">
        <v>945</v>
      </c>
      <c r="F181" s="22">
        <v>945</v>
      </c>
      <c r="G181" s="22">
        <v>945</v>
      </c>
      <c r="H181" s="22">
        <v>0</v>
      </c>
      <c r="I181" s="23">
        <v>0</v>
      </c>
      <c r="J181" s="23">
        <v>230</v>
      </c>
      <c r="K181" s="23">
        <v>0</v>
      </c>
      <c r="L181" s="23">
        <v>0</v>
      </c>
      <c r="M181" s="23">
        <v>0</v>
      </c>
      <c r="N181" s="23">
        <v>300</v>
      </c>
      <c r="O181" s="23">
        <v>0</v>
      </c>
      <c r="P181" s="23">
        <v>0</v>
      </c>
      <c r="Q181" s="29">
        <f t="shared" si="19"/>
        <v>3365</v>
      </c>
      <c r="R181" s="16"/>
      <c r="S181" s="16"/>
    </row>
    <row r="182" spans="1:19" x14ac:dyDescent="0.25">
      <c r="A182" s="13"/>
      <c r="B182" s="19">
        <v>2578118447</v>
      </c>
      <c r="C182" s="20" t="s">
        <v>223</v>
      </c>
      <c r="D182" s="15"/>
      <c r="E182" s="22">
        <v>1300</v>
      </c>
      <c r="F182" s="22">
        <v>1200</v>
      </c>
      <c r="G182" s="22">
        <v>1200</v>
      </c>
      <c r="H182" s="22">
        <v>1200</v>
      </c>
      <c r="I182" s="23">
        <v>1200</v>
      </c>
      <c r="J182" s="23">
        <v>1200</v>
      </c>
      <c r="K182" s="23">
        <v>1200</v>
      </c>
      <c r="L182" s="23">
        <v>1200</v>
      </c>
      <c r="M182" s="23">
        <v>1200</v>
      </c>
      <c r="N182" s="23">
        <v>1200</v>
      </c>
      <c r="O182" s="23">
        <v>1200</v>
      </c>
      <c r="P182" s="23">
        <v>1200</v>
      </c>
      <c r="Q182" s="29">
        <f t="shared" si="19"/>
        <v>14500</v>
      </c>
      <c r="R182" s="16"/>
      <c r="S182" s="16"/>
    </row>
    <row r="183" spans="1:19" x14ac:dyDescent="0.25">
      <c r="A183" s="13"/>
      <c r="B183" s="19"/>
      <c r="C183" s="20" t="s">
        <v>224</v>
      </c>
      <c r="D183" s="15"/>
      <c r="E183" s="22">
        <v>1380</v>
      </c>
      <c r="F183" s="22">
        <v>0</v>
      </c>
      <c r="G183" s="22">
        <v>0</v>
      </c>
      <c r="H183" s="22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9">
        <f t="shared" si="19"/>
        <v>1380</v>
      </c>
      <c r="R183" s="16"/>
      <c r="S183" s="16"/>
    </row>
    <row r="184" spans="1:19" x14ac:dyDescent="0.25">
      <c r="A184" s="13"/>
      <c r="B184" s="19"/>
      <c r="C184" s="20" t="s">
        <v>126</v>
      </c>
      <c r="D184" s="15"/>
      <c r="E184" s="22">
        <v>550</v>
      </c>
      <c r="F184" s="22">
        <v>0</v>
      </c>
      <c r="G184" s="22">
        <v>0</v>
      </c>
      <c r="H184" s="22">
        <v>30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9">
        <f t="shared" si="19"/>
        <v>580</v>
      </c>
      <c r="R184" s="16"/>
      <c r="S184" s="16"/>
    </row>
    <row r="185" spans="1:19" x14ac:dyDescent="0.25">
      <c r="A185" s="13"/>
      <c r="B185" s="38" t="s">
        <v>225</v>
      </c>
      <c r="C185" s="20" t="s">
        <v>226</v>
      </c>
      <c r="D185" s="15"/>
      <c r="E185" s="22">
        <v>0</v>
      </c>
      <c r="F185" s="22">
        <v>1200</v>
      </c>
      <c r="G185" s="22">
        <f>1200+1200</f>
        <v>2400</v>
      </c>
      <c r="H185" s="22">
        <v>1200</v>
      </c>
      <c r="I185" s="23">
        <v>0</v>
      </c>
      <c r="J185" s="23">
        <v>1200</v>
      </c>
      <c r="K185" s="23">
        <v>2400</v>
      </c>
      <c r="L185" s="23">
        <v>1200</v>
      </c>
      <c r="M185" s="23">
        <v>0</v>
      </c>
      <c r="N185" s="23">
        <v>2400</v>
      </c>
      <c r="O185" s="23">
        <v>1200</v>
      </c>
      <c r="P185" s="23">
        <v>0</v>
      </c>
      <c r="Q185" s="29">
        <f t="shared" si="19"/>
        <v>13200</v>
      </c>
      <c r="R185" s="16"/>
      <c r="S185" s="16"/>
    </row>
    <row r="186" spans="1:19" x14ac:dyDescent="0.25">
      <c r="A186" s="13"/>
      <c r="B186" s="19">
        <v>3441414913</v>
      </c>
      <c r="C186" s="20" t="s">
        <v>227</v>
      </c>
      <c r="D186" s="15"/>
      <c r="E186" s="22">
        <v>0</v>
      </c>
      <c r="F186" s="22">
        <v>1206</v>
      </c>
      <c r="G186" s="22">
        <v>1160</v>
      </c>
      <c r="H186" s="22">
        <f>1135+1086</f>
        <v>2221</v>
      </c>
      <c r="I186" s="23">
        <v>0</v>
      </c>
      <c r="J186" s="23">
        <v>2264</v>
      </c>
      <c r="K186" s="23">
        <v>3827</v>
      </c>
      <c r="L186" s="23">
        <v>0</v>
      </c>
      <c r="M186" s="23">
        <v>0</v>
      </c>
      <c r="N186" s="23">
        <v>0</v>
      </c>
      <c r="O186" s="23">
        <v>2688</v>
      </c>
      <c r="P186" s="23">
        <v>0</v>
      </c>
      <c r="Q186" s="29">
        <f t="shared" si="19"/>
        <v>13366</v>
      </c>
      <c r="R186" s="16"/>
      <c r="S186" s="16"/>
    </row>
    <row r="187" spans="1:19" x14ac:dyDescent="0.25">
      <c r="A187" s="13"/>
      <c r="B187" s="19">
        <v>3223322911</v>
      </c>
      <c r="C187" s="20" t="s">
        <v>228</v>
      </c>
      <c r="D187" s="15"/>
      <c r="E187" s="22">
        <v>0</v>
      </c>
      <c r="F187" s="22">
        <v>17668</v>
      </c>
      <c r="G187" s="22">
        <v>0</v>
      </c>
      <c r="H187" s="22">
        <v>0</v>
      </c>
      <c r="I187" s="23">
        <v>18541</v>
      </c>
      <c r="J187" s="23">
        <v>0</v>
      </c>
      <c r="K187" s="23">
        <v>0</v>
      </c>
      <c r="L187" s="23">
        <v>20513</v>
      </c>
      <c r="M187" s="23">
        <v>0</v>
      </c>
      <c r="N187" s="23">
        <v>0</v>
      </c>
      <c r="O187" s="23">
        <v>20098</v>
      </c>
      <c r="P187" s="23">
        <v>0</v>
      </c>
      <c r="Q187" s="29">
        <f t="shared" si="19"/>
        <v>76820</v>
      </c>
      <c r="R187" s="16"/>
      <c r="S187" s="16"/>
    </row>
    <row r="188" spans="1:19" x14ac:dyDescent="0.25">
      <c r="A188" s="13"/>
      <c r="B188" s="19">
        <v>3660905556</v>
      </c>
      <c r="C188" s="20" t="s">
        <v>229</v>
      </c>
      <c r="D188" s="15"/>
      <c r="E188" s="22">
        <v>0</v>
      </c>
      <c r="F188" s="22">
        <v>350</v>
      </c>
      <c r="G188" s="22">
        <v>0</v>
      </c>
      <c r="H188" s="22">
        <v>0</v>
      </c>
      <c r="I188" s="23">
        <v>2588</v>
      </c>
      <c r="J188" s="23">
        <v>0</v>
      </c>
      <c r="K188" s="23">
        <v>0</v>
      </c>
      <c r="L188" s="23">
        <v>3465</v>
      </c>
      <c r="M188" s="23">
        <v>0</v>
      </c>
      <c r="N188" s="23">
        <v>0</v>
      </c>
      <c r="O188" s="23">
        <v>4706</v>
      </c>
      <c r="P188" s="23">
        <v>0</v>
      </c>
      <c r="Q188" s="29">
        <f t="shared" si="19"/>
        <v>11109</v>
      </c>
      <c r="R188" s="16"/>
      <c r="S188" s="16"/>
    </row>
    <row r="189" spans="1:19" x14ac:dyDescent="0.25">
      <c r="A189" s="13"/>
      <c r="B189" s="19">
        <v>3111215876</v>
      </c>
      <c r="C189" s="20" t="s">
        <v>109</v>
      </c>
      <c r="D189" s="15"/>
      <c r="E189" s="22">
        <v>0</v>
      </c>
      <c r="F189" s="22">
        <v>164000</v>
      </c>
      <c r="G189" s="22">
        <v>0</v>
      </c>
      <c r="H189" s="22">
        <v>0</v>
      </c>
      <c r="I189" s="23">
        <v>253680</v>
      </c>
      <c r="J189" s="23">
        <v>0</v>
      </c>
      <c r="K189" s="23">
        <v>0</v>
      </c>
      <c r="L189" s="23">
        <v>96350</v>
      </c>
      <c r="M189" s="23">
        <v>0</v>
      </c>
      <c r="N189" s="23">
        <v>0</v>
      </c>
      <c r="O189" s="23">
        <v>100</v>
      </c>
      <c r="P189" s="23">
        <v>0</v>
      </c>
      <c r="Q189" s="29">
        <f t="shared" si="19"/>
        <v>514130</v>
      </c>
      <c r="R189" s="16"/>
      <c r="S189" s="16"/>
    </row>
    <row r="190" spans="1:19" x14ac:dyDescent="0.25">
      <c r="A190" s="13"/>
      <c r="B190" s="19">
        <v>3489912486</v>
      </c>
      <c r="C190" s="20" t="s">
        <v>230</v>
      </c>
      <c r="D190" s="15"/>
      <c r="E190" s="22">
        <v>0</v>
      </c>
      <c r="F190" s="22">
        <v>1232.5</v>
      </c>
      <c r="G190" s="22">
        <v>0</v>
      </c>
      <c r="H190" s="22">
        <v>0</v>
      </c>
      <c r="I190" s="23">
        <v>0</v>
      </c>
      <c r="J190" s="23">
        <v>0</v>
      </c>
      <c r="K190" s="23">
        <v>2176.04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9">
        <f t="shared" si="19"/>
        <v>3408.54</v>
      </c>
      <c r="R190" s="16"/>
      <c r="S190" s="16"/>
    </row>
    <row r="191" spans="1:19" x14ac:dyDescent="0.25">
      <c r="A191" s="13"/>
      <c r="B191" s="19">
        <v>2664017316</v>
      </c>
      <c r="C191" s="20" t="s">
        <v>231</v>
      </c>
      <c r="D191" s="15"/>
      <c r="E191" s="22">
        <v>0</v>
      </c>
      <c r="F191" s="22">
        <v>0</v>
      </c>
      <c r="G191" s="22">
        <v>945</v>
      </c>
      <c r="H191" s="22">
        <v>1200</v>
      </c>
      <c r="I191" s="23">
        <v>1200</v>
      </c>
      <c r="J191" s="23">
        <v>1200</v>
      </c>
      <c r="K191" s="23">
        <v>1200</v>
      </c>
      <c r="L191" s="23">
        <v>1200</v>
      </c>
      <c r="M191" s="23">
        <v>1200</v>
      </c>
      <c r="N191" s="23">
        <v>1200</v>
      </c>
      <c r="O191" s="23">
        <v>1200</v>
      </c>
      <c r="P191" s="23">
        <v>0</v>
      </c>
      <c r="Q191" s="29">
        <f t="shared" si="19"/>
        <v>10545</v>
      </c>
      <c r="R191" s="16"/>
      <c r="S191" s="16"/>
    </row>
    <row r="192" spans="1:19" x14ac:dyDescent="0.25">
      <c r="A192" s="13"/>
      <c r="B192" s="19"/>
      <c r="C192" s="20" t="s">
        <v>232</v>
      </c>
      <c r="D192" s="15"/>
      <c r="E192" s="22">
        <v>0</v>
      </c>
      <c r="F192" s="22">
        <v>0</v>
      </c>
      <c r="G192" s="22">
        <v>577.6</v>
      </c>
      <c r="H192" s="22">
        <v>0</v>
      </c>
      <c r="I192" s="23">
        <v>0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9">
        <f t="shared" si="19"/>
        <v>577.6</v>
      </c>
      <c r="R192" s="16"/>
      <c r="S192" s="16"/>
    </row>
    <row r="193" spans="1:19" x14ac:dyDescent="0.25">
      <c r="A193" s="13"/>
      <c r="B193" s="19">
        <v>1861304127</v>
      </c>
      <c r="C193" s="20" t="s">
        <v>233</v>
      </c>
      <c r="D193" s="15"/>
      <c r="E193" s="22">
        <v>0</v>
      </c>
      <c r="F193" s="22">
        <v>0</v>
      </c>
      <c r="G193" s="22">
        <v>0</v>
      </c>
      <c r="H193" s="22">
        <v>1200</v>
      </c>
      <c r="I193" s="23">
        <v>1200</v>
      </c>
      <c r="J193" s="23">
        <v>1200</v>
      </c>
      <c r="K193" s="23">
        <v>1200</v>
      </c>
      <c r="L193" s="23">
        <v>1200</v>
      </c>
      <c r="M193" s="23">
        <v>1200</v>
      </c>
      <c r="N193" s="23">
        <v>1200</v>
      </c>
      <c r="O193" s="23">
        <v>1200</v>
      </c>
      <c r="P193" s="23">
        <v>1200</v>
      </c>
      <c r="Q193" s="29">
        <f t="shared" si="19"/>
        <v>10800</v>
      </c>
      <c r="R193" s="16"/>
      <c r="S193" s="16"/>
    </row>
    <row r="194" spans="1:19" x14ac:dyDescent="0.25">
      <c r="A194" s="13"/>
      <c r="B194" s="19">
        <v>2535103838</v>
      </c>
      <c r="C194" s="20" t="s">
        <v>234</v>
      </c>
      <c r="D194" s="15"/>
      <c r="E194" s="22">
        <v>0</v>
      </c>
      <c r="F194" s="22">
        <v>0</v>
      </c>
      <c r="G194" s="22">
        <v>0</v>
      </c>
      <c r="H194" s="22">
        <v>690</v>
      </c>
      <c r="I194" s="23">
        <v>0</v>
      </c>
      <c r="J194" s="23">
        <v>0</v>
      </c>
      <c r="K194" s="23">
        <v>690</v>
      </c>
      <c r="L194" s="23">
        <v>0</v>
      </c>
      <c r="M194" s="23">
        <v>0</v>
      </c>
      <c r="N194" s="23">
        <v>1035</v>
      </c>
      <c r="O194" s="23">
        <v>0</v>
      </c>
      <c r="P194" s="23">
        <v>690</v>
      </c>
      <c r="Q194" s="29">
        <f t="shared" si="19"/>
        <v>3105</v>
      </c>
      <c r="R194" s="16"/>
      <c r="S194" s="16"/>
    </row>
    <row r="195" spans="1:19" x14ac:dyDescent="0.25">
      <c r="A195" s="13"/>
      <c r="B195" s="19">
        <v>3337619492</v>
      </c>
      <c r="C195" s="20" t="s">
        <v>235</v>
      </c>
      <c r="D195" s="15"/>
      <c r="E195" s="22">
        <v>0</v>
      </c>
      <c r="F195" s="22">
        <v>0</v>
      </c>
      <c r="G195" s="22">
        <v>0</v>
      </c>
      <c r="H195" s="22">
        <v>0</v>
      </c>
      <c r="I195" s="23">
        <v>1200</v>
      </c>
      <c r="J195" s="23">
        <v>1200</v>
      </c>
      <c r="K195" s="23">
        <v>1200</v>
      </c>
      <c r="L195" s="23">
        <v>1200</v>
      </c>
      <c r="M195" s="23">
        <v>1200</v>
      </c>
      <c r="N195" s="23">
        <v>1200</v>
      </c>
      <c r="O195" s="23">
        <v>1200</v>
      </c>
      <c r="P195" s="23">
        <v>1200</v>
      </c>
      <c r="Q195" s="29">
        <f t="shared" si="19"/>
        <v>9600</v>
      </c>
      <c r="R195" s="16"/>
      <c r="S195" s="16"/>
    </row>
    <row r="196" spans="1:19" x14ac:dyDescent="0.25">
      <c r="A196" s="13"/>
      <c r="B196" s="19">
        <v>3069520968</v>
      </c>
      <c r="C196" s="20" t="s">
        <v>236</v>
      </c>
      <c r="D196" s="15"/>
      <c r="E196" s="22">
        <v>0</v>
      </c>
      <c r="F196" s="22">
        <v>0</v>
      </c>
      <c r="G196" s="22">
        <v>0</v>
      </c>
      <c r="H196" s="22">
        <v>0</v>
      </c>
      <c r="I196" s="23">
        <v>1200</v>
      </c>
      <c r="J196" s="23">
        <v>1200</v>
      </c>
      <c r="K196" s="23">
        <v>1200</v>
      </c>
      <c r="L196" s="23">
        <v>1200</v>
      </c>
      <c r="M196" s="23">
        <v>1200</v>
      </c>
      <c r="N196" s="23">
        <v>1200</v>
      </c>
      <c r="O196" s="23">
        <v>1200</v>
      </c>
      <c r="P196" s="23">
        <v>0</v>
      </c>
      <c r="Q196" s="29">
        <f t="shared" si="19"/>
        <v>8400</v>
      </c>
      <c r="R196" s="16"/>
      <c r="S196" s="16"/>
    </row>
    <row r="197" spans="1:19" x14ac:dyDescent="0.25">
      <c r="A197" s="13"/>
      <c r="B197" s="19">
        <v>2893317381</v>
      </c>
      <c r="C197" s="20" t="s">
        <v>237</v>
      </c>
      <c r="D197" s="15"/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3">
        <v>230</v>
      </c>
      <c r="K197" s="23">
        <v>238</v>
      </c>
      <c r="L197" s="23">
        <v>240</v>
      </c>
      <c r="M197" s="23">
        <v>240</v>
      </c>
      <c r="N197" s="23">
        <v>694</v>
      </c>
      <c r="O197" s="23">
        <v>250</v>
      </c>
      <c r="P197" s="23">
        <v>480</v>
      </c>
      <c r="Q197" s="29">
        <f t="shared" si="19"/>
        <v>2372</v>
      </c>
      <c r="R197" s="16"/>
      <c r="S197" s="16"/>
    </row>
    <row r="198" spans="1:19" x14ac:dyDescent="0.25">
      <c r="A198" s="13"/>
      <c r="B198" s="19">
        <v>3149218989</v>
      </c>
      <c r="C198" s="20" t="s">
        <v>238</v>
      </c>
      <c r="D198" s="15"/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3">
        <v>230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9">
        <f t="shared" si="19"/>
        <v>230</v>
      </c>
      <c r="R198" s="16"/>
      <c r="S198" s="16"/>
    </row>
    <row r="199" spans="1:19" x14ac:dyDescent="0.25">
      <c r="A199" s="13"/>
      <c r="B199" s="19">
        <v>2259510539</v>
      </c>
      <c r="C199" s="20" t="s">
        <v>239</v>
      </c>
      <c r="D199" s="15"/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3">
        <v>215</v>
      </c>
      <c r="K199" s="23">
        <v>0</v>
      </c>
      <c r="L199" s="23">
        <v>215</v>
      </c>
      <c r="M199" s="23">
        <v>215</v>
      </c>
      <c r="N199" s="23">
        <v>215</v>
      </c>
      <c r="O199" s="23">
        <v>230</v>
      </c>
      <c r="P199" s="23">
        <v>0</v>
      </c>
      <c r="Q199" s="29">
        <f t="shared" si="19"/>
        <v>1090</v>
      </c>
      <c r="R199" s="16"/>
      <c r="S199" s="16"/>
    </row>
    <row r="200" spans="1:19" x14ac:dyDescent="0.25">
      <c r="A200" s="13"/>
      <c r="B200" s="19">
        <v>2835817277</v>
      </c>
      <c r="C200" s="20" t="s">
        <v>240</v>
      </c>
      <c r="D200" s="15"/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3">
        <v>920</v>
      </c>
      <c r="K200" s="23">
        <v>0</v>
      </c>
      <c r="L200" s="23">
        <v>0</v>
      </c>
      <c r="M200" s="23">
        <v>690</v>
      </c>
      <c r="N200" s="23">
        <v>0</v>
      </c>
      <c r="O200" s="23">
        <v>0</v>
      </c>
      <c r="P200" s="23">
        <v>0</v>
      </c>
      <c r="Q200" s="29">
        <f t="shared" si="19"/>
        <v>1610</v>
      </c>
      <c r="R200" s="16"/>
      <c r="S200" s="16"/>
    </row>
    <row r="201" spans="1:19" x14ac:dyDescent="0.25">
      <c r="A201" s="13"/>
      <c r="B201" s="19">
        <v>2822708528</v>
      </c>
      <c r="C201" s="20" t="s">
        <v>241</v>
      </c>
      <c r="D201" s="15"/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3">
        <v>230</v>
      </c>
      <c r="K201" s="23">
        <v>1200</v>
      </c>
      <c r="L201" s="23">
        <v>1200</v>
      </c>
      <c r="M201" s="23">
        <v>1200</v>
      </c>
      <c r="N201" s="23">
        <v>1200</v>
      </c>
      <c r="O201" s="23">
        <v>1200</v>
      </c>
      <c r="P201" s="23">
        <v>1200</v>
      </c>
      <c r="Q201" s="29">
        <f t="shared" si="19"/>
        <v>7430</v>
      </c>
      <c r="R201" s="16"/>
      <c r="S201" s="16"/>
    </row>
    <row r="202" spans="1:19" x14ac:dyDescent="0.25">
      <c r="A202" s="13"/>
      <c r="B202" s="19">
        <v>2420009585</v>
      </c>
      <c r="C202" s="20" t="s">
        <v>242</v>
      </c>
      <c r="D202" s="15"/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3">
        <v>230</v>
      </c>
      <c r="K202" s="23">
        <v>230</v>
      </c>
      <c r="L202" s="23">
        <v>230</v>
      </c>
      <c r="M202" s="23">
        <v>230</v>
      </c>
      <c r="N202" s="23">
        <v>230</v>
      </c>
      <c r="O202" s="23">
        <v>230</v>
      </c>
      <c r="P202" s="23">
        <v>230</v>
      </c>
      <c r="Q202" s="29">
        <f t="shared" si="19"/>
        <v>1610</v>
      </c>
      <c r="R202" s="16"/>
      <c r="S202" s="16"/>
    </row>
    <row r="203" spans="1:19" x14ac:dyDescent="0.25">
      <c r="A203" s="13"/>
      <c r="B203" s="19">
        <v>3096112053</v>
      </c>
      <c r="C203" s="20" t="s">
        <v>243</v>
      </c>
      <c r="D203" s="15"/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3">
        <v>1200</v>
      </c>
      <c r="K203" s="23">
        <v>1200</v>
      </c>
      <c r="L203" s="23">
        <v>1200</v>
      </c>
      <c r="M203" s="23">
        <v>1200</v>
      </c>
      <c r="N203" s="23">
        <v>1200</v>
      </c>
      <c r="O203" s="23">
        <v>0</v>
      </c>
      <c r="P203" s="23">
        <v>0</v>
      </c>
      <c r="Q203" s="29">
        <f t="shared" si="19"/>
        <v>6000</v>
      </c>
      <c r="R203" s="16"/>
      <c r="S203" s="16"/>
    </row>
    <row r="204" spans="1:19" x14ac:dyDescent="0.25">
      <c r="A204" s="13"/>
      <c r="B204" s="19">
        <v>2450201654</v>
      </c>
      <c r="C204" s="20" t="s">
        <v>244</v>
      </c>
      <c r="D204" s="15"/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3">
        <v>230</v>
      </c>
      <c r="K204" s="23">
        <v>0</v>
      </c>
      <c r="L204" s="23">
        <v>690</v>
      </c>
      <c r="M204" s="23">
        <v>0</v>
      </c>
      <c r="N204" s="23">
        <v>690</v>
      </c>
      <c r="O204" s="23">
        <v>0</v>
      </c>
      <c r="P204" s="23">
        <v>0</v>
      </c>
      <c r="Q204" s="29">
        <f t="shared" si="19"/>
        <v>1610</v>
      </c>
      <c r="R204" s="16"/>
      <c r="S204" s="16"/>
    </row>
    <row r="205" spans="1:19" x14ac:dyDescent="0.25">
      <c r="A205" s="13"/>
      <c r="B205" s="19">
        <v>2511316411</v>
      </c>
      <c r="C205" s="20" t="s">
        <v>245</v>
      </c>
      <c r="D205" s="15"/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3">
        <v>960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9">
        <f t="shared" si="19"/>
        <v>960</v>
      </c>
      <c r="R205" s="16"/>
      <c r="S205" s="16"/>
    </row>
    <row r="206" spans="1:19" x14ac:dyDescent="0.25">
      <c r="A206" s="13"/>
      <c r="B206" s="19">
        <v>2008992928</v>
      </c>
      <c r="C206" s="20" t="s">
        <v>96</v>
      </c>
      <c r="D206" s="15"/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3">
        <v>1200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9">
        <f t="shared" si="19"/>
        <v>1200</v>
      </c>
      <c r="R206" s="16"/>
      <c r="S206" s="16"/>
    </row>
    <row r="207" spans="1:19" x14ac:dyDescent="0.25">
      <c r="A207" s="13"/>
      <c r="B207" s="19">
        <v>2705503293</v>
      </c>
      <c r="C207" s="20" t="s">
        <v>246</v>
      </c>
      <c r="D207" s="15"/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3">
        <v>100</v>
      </c>
      <c r="L207" s="23">
        <v>0</v>
      </c>
      <c r="M207" s="23">
        <v>0</v>
      </c>
      <c r="N207" s="23">
        <v>150</v>
      </c>
      <c r="O207" s="23">
        <v>0</v>
      </c>
      <c r="P207" s="23">
        <v>0</v>
      </c>
      <c r="Q207" s="29">
        <f t="shared" si="19"/>
        <v>250</v>
      </c>
      <c r="R207" s="16"/>
      <c r="S207" s="16"/>
    </row>
    <row r="208" spans="1:19" x14ac:dyDescent="0.25">
      <c r="A208" s="13"/>
      <c r="B208" s="19">
        <v>2284304038</v>
      </c>
      <c r="C208" s="20" t="s">
        <v>247</v>
      </c>
      <c r="D208" s="15"/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3">
        <v>1200</v>
      </c>
      <c r="L208" s="23">
        <v>1200</v>
      </c>
      <c r="M208" s="23">
        <v>1200</v>
      </c>
      <c r="N208" s="23">
        <v>1200</v>
      </c>
      <c r="O208" s="23">
        <v>1200</v>
      </c>
      <c r="P208" s="23">
        <v>1200</v>
      </c>
      <c r="Q208" s="29">
        <f t="shared" si="19"/>
        <v>7200</v>
      </c>
      <c r="R208" s="16"/>
      <c r="S208" s="16"/>
    </row>
    <row r="209" spans="1:19" x14ac:dyDescent="0.25">
      <c r="A209" s="13"/>
      <c r="B209" s="19">
        <v>2361418726</v>
      </c>
      <c r="C209" s="20" t="s">
        <v>248</v>
      </c>
      <c r="D209" s="15"/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3">
        <v>1200</v>
      </c>
      <c r="L209" s="23">
        <v>1200</v>
      </c>
      <c r="M209" s="23">
        <v>1200</v>
      </c>
      <c r="N209" s="23">
        <v>1200</v>
      </c>
      <c r="O209" s="23">
        <v>1200</v>
      </c>
      <c r="P209" s="23">
        <v>1200</v>
      </c>
      <c r="Q209" s="29">
        <f t="shared" si="19"/>
        <v>7200</v>
      </c>
      <c r="R209" s="16"/>
      <c r="S209" s="16"/>
    </row>
    <row r="210" spans="1:19" x14ac:dyDescent="0.25">
      <c r="A210" s="13"/>
      <c r="B210" s="19">
        <v>3550010399</v>
      </c>
      <c r="C210" s="20" t="s">
        <v>249</v>
      </c>
      <c r="D210" s="15"/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3">
        <v>227</v>
      </c>
      <c r="L210" s="23">
        <v>227</v>
      </c>
      <c r="M210" s="23">
        <v>227</v>
      </c>
      <c r="N210" s="23">
        <v>227</v>
      </c>
      <c r="O210" s="23">
        <v>227</v>
      </c>
      <c r="P210" s="23">
        <v>0</v>
      </c>
      <c r="Q210" s="29">
        <f t="shared" si="19"/>
        <v>1135</v>
      </c>
      <c r="R210" s="16"/>
      <c r="S210" s="16"/>
    </row>
    <row r="211" spans="1:19" x14ac:dyDescent="0.25">
      <c r="A211" s="13"/>
      <c r="B211" s="19">
        <v>3565110383</v>
      </c>
      <c r="C211" s="20" t="s">
        <v>250</v>
      </c>
      <c r="D211" s="15"/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3">
        <v>460</v>
      </c>
      <c r="L211" s="23">
        <v>230</v>
      </c>
      <c r="M211" s="23">
        <v>230</v>
      </c>
      <c r="N211" s="23">
        <v>230</v>
      </c>
      <c r="O211" s="23">
        <v>230</v>
      </c>
      <c r="P211" s="23">
        <v>250</v>
      </c>
      <c r="Q211" s="29">
        <f t="shared" si="19"/>
        <v>1630</v>
      </c>
      <c r="R211" s="16"/>
      <c r="S211" s="16"/>
    </row>
    <row r="212" spans="1:19" x14ac:dyDescent="0.25">
      <c r="A212" s="13"/>
      <c r="B212" s="19">
        <v>3410116626</v>
      </c>
      <c r="C212" s="20" t="s">
        <v>251</v>
      </c>
      <c r="D212" s="15"/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3">
        <v>227</v>
      </c>
      <c r="L212" s="23">
        <v>0</v>
      </c>
      <c r="M212" s="23">
        <v>0</v>
      </c>
      <c r="N212" s="23">
        <v>227</v>
      </c>
      <c r="O212" s="23">
        <v>227</v>
      </c>
      <c r="P212" s="23">
        <v>0</v>
      </c>
      <c r="Q212" s="29">
        <f t="shared" si="19"/>
        <v>681</v>
      </c>
      <c r="R212" s="16"/>
      <c r="S212" s="16"/>
    </row>
    <row r="213" spans="1:19" x14ac:dyDescent="0.25">
      <c r="A213" s="13"/>
      <c r="B213" s="19">
        <v>3566211303</v>
      </c>
      <c r="C213" s="31" t="s">
        <v>252</v>
      </c>
      <c r="D213" s="15"/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505</v>
      </c>
      <c r="M213" s="23">
        <v>0</v>
      </c>
      <c r="N213" s="23">
        <v>0</v>
      </c>
      <c r="O213" s="23">
        <v>805</v>
      </c>
      <c r="P213" s="23">
        <v>0</v>
      </c>
      <c r="Q213" s="29">
        <f t="shared" si="19"/>
        <v>1310</v>
      </c>
      <c r="R213" s="16"/>
      <c r="S213" s="16"/>
    </row>
    <row r="214" spans="1:19" x14ac:dyDescent="0.25">
      <c r="A214" s="13"/>
      <c r="B214" s="19">
        <v>2732008295</v>
      </c>
      <c r="C214" s="31" t="s">
        <v>253</v>
      </c>
      <c r="D214" s="15"/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700</v>
      </c>
      <c r="M214" s="23">
        <v>0</v>
      </c>
      <c r="N214" s="23">
        <v>230</v>
      </c>
      <c r="O214" s="23">
        <v>230</v>
      </c>
      <c r="P214" s="23">
        <v>250</v>
      </c>
      <c r="Q214" s="29">
        <f t="shared" si="19"/>
        <v>1410</v>
      </c>
      <c r="R214" s="16"/>
      <c r="S214" s="16"/>
    </row>
    <row r="215" spans="1:19" x14ac:dyDescent="0.25">
      <c r="A215" s="13"/>
      <c r="B215" s="19">
        <v>3741708761</v>
      </c>
      <c r="C215" s="31" t="s">
        <v>254</v>
      </c>
      <c r="D215" s="15"/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1500</v>
      </c>
      <c r="M215" s="23">
        <v>1200</v>
      </c>
      <c r="N215" s="23">
        <v>1500</v>
      </c>
      <c r="O215" s="23">
        <v>1500</v>
      </c>
      <c r="P215" s="23">
        <v>1500</v>
      </c>
      <c r="Q215" s="29">
        <f t="shared" si="19"/>
        <v>7200</v>
      </c>
      <c r="R215" s="16"/>
      <c r="S215" s="16"/>
    </row>
    <row r="216" spans="1:19" x14ac:dyDescent="0.25">
      <c r="A216" s="13"/>
      <c r="B216" s="19">
        <v>2510911794</v>
      </c>
      <c r="C216" s="31" t="s">
        <v>255</v>
      </c>
      <c r="D216" s="15"/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230</v>
      </c>
      <c r="M216" s="23">
        <v>0</v>
      </c>
      <c r="N216" s="23">
        <v>927</v>
      </c>
      <c r="O216" s="23">
        <v>0</v>
      </c>
      <c r="P216" s="23">
        <v>227</v>
      </c>
      <c r="Q216" s="29">
        <f t="shared" si="19"/>
        <v>1384</v>
      </c>
      <c r="R216" s="16"/>
      <c r="S216" s="16"/>
    </row>
    <row r="217" spans="1:19" x14ac:dyDescent="0.25">
      <c r="A217" s="13"/>
      <c r="B217" s="19">
        <v>2426408181</v>
      </c>
      <c r="C217" s="31" t="s">
        <v>256</v>
      </c>
      <c r="D217" s="15"/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1200</v>
      </c>
      <c r="M217" s="22">
        <v>1200</v>
      </c>
      <c r="N217" s="22">
        <v>1200</v>
      </c>
      <c r="O217" s="22">
        <v>1200</v>
      </c>
      <c r="P217" s="22">
        <v>1200</v>
      </c>
      <c r="Q217" s="29">
        <f t="shared" si="19"/>
        <v>6000</v>
      </c>
      <c r="R217" s="16"/>
      <c r="S217" s="16"/>
    </row>
    <row r="218" spans="1:19" x14ac:dyDescent="0.25">
      <c r="A218" s="13"/>
      <c r="B218" s="19">
        <v>3206321330</v>
      </c>
      <c r="C218" s="31" t="s">
        <v>257</v>
      </c>
      <c r="D218" s="15"/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150</v>
      </c>
      <c r="M218" s="23">
        <v>0</v>
      </c>
      <c r="N218" s="23">
        <v>0</v>
      </c>
      <c r="O218" s="23">
        <v>33699</v>
      </c>
      <c r="P218" s="23">
        <v>0</v>
      </c>
      <c r="Q218" s="29">
        <f t="shared" si="19"/>
        <v>33849</v>
      </c>
      <c r="R218" s="16"/>
      <c r="S218" s="16"/>
    </row>
    <row r="219" spans="1:19" x14ac:dyDescent="0.25">
      <c r="A219" s="13"/>
      <c r="B219" s="19">
        <v>3567510829</v>
      </c>
      <c r="C219" s="31" t="s">
        <v>258</v>
      </c>
      <c r="D219" s="15"/>
      <c r="E219" s="22">
        <v>0</v>
      </c>
      <c r="F219" s="22">
        <v>0</v>
      </c>
      <c r="G219" s="22"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1200</v>
      </c>
      <c r="N219" s="22">
        <v>1200</v>
      </c>
      <c r="O219" s="22">
        <v>1200</v>
      </c>
      <c r="P219" s="22">
        <v>2500</v>
      </c>
      <c r="Q219" s="29">
        <f t="shared" si="19"/>
        <v>6100</v>
      </c>
      <c r="R219" s="16"/>
      <c r="S219" s="16"/>
    </row>
    <row r="220" spans="1:19" x14ac:dyDescent="0.25">
      <c r="A220" s="13"/>
      <c r="B220" s="19">
        <v>3255819819</v>
      </c>
      <c r="C220" s="31" t="s">
        <v>259</v>
      </c>
      <c r="D220" s="15"/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3">
        <v>0</v>
      </c>
      <c r="N220" s="23">
        <v>1400</v>
      </c>
      <c r="O220" s="23">
        <v>200</v>
      </c>
      <c r="P220" s="23">
        <v>200</v>
      </c>
      <c r="Q220" s="29">
        <f t="shared" ref="Q220:Q222" si="20">SUM(E220:P220)</f>
        <v>1800</v>
      </c>
      <c r="R220" s="16"/>
      <c r="S220" s="16"/>
    </row>
    <row r="221" spans="1:19" x14ac:dyDescent="0.25">
      <c r="A221" s="13"/>
      <c r="B221" s="19">
        <v>3045625031</v>
      </c>
      <c r="C221" s="20" t="s">
        <v>260</v>
      </c>
      <c r="D221" s="15"/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3">
        <v>0</v>
      </c>
      <c r="N221" s="23">
        <v>3600</v>
      </c>
      <c r="O221" s="23">
        <v>0</v>
      </c>
      <c r="P221" s="23">
        <v>0</v>
      </c>
      <c r="Q221" s="29">
        <f t="shared" si="20"/>
        <v>3600</v>
      </c>
      <c r="R221" s="16"/>
      <c r="S221" s="16"/>
    </row>
    <row r="222" spans="1:19" x14ac:dyDescent="0.25">
      <c r="A222" s="13"/>
      <c r="B222" s="19">
        <v>3047822331</v>
      </c>
      <c r="C222" s="20" t="s">
        <v>261</v>
      </c>
      <c r="D222" s="15"/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3">
        <v>0</v>
      </c>
      <c r="N222" s="23">
        <v>0</v>
      </c>
      <c r="O222" s="23">
        <v>0</v>
      </c>
      <c r="P222" s="23">
        <v>5050</v>
      </c>
      <c r="Q222" s="29">
        <f t="shared" si="20"/>
        <v>5050</v>
      </c>
      <c r="R222" s="16"/>
      <c r="S222" s="16"/>
    </row>
    <row r="223" spans="1:19" ht="51" x14ac:dyDescent="0.25">
      <c r="A223" s="13">
        <v>0</v>
      </c>
      <c r="B223" s="13" t="s">
        <v>44</v>
      </c>
      <c r="C223" s="14" t="s">
        <v>45</v>
      </c>
      <c r="D223" s="15">
        <v>600000</v>
      </c>
      <c r="E223" s="18">
        <v>150287.14000000001</v>
      </c>
      <c r="F223" s="18">
        <f>SUM(F224:F227)</f>
        <v>1011.3</v>
      </c>
      <c r="G223" s="18">
        <f t="shared" ref="G223:P223" si="21">SUM(G224:G227)</f>
        <v>540.38</v>
      </c>
      <c r="H223" s="18">
        <f t="shared" si="21"/>
        <v>59152.12</v>
      </c>
      <c r="I223" s="18">
        <f t="shared" si="21"/>
        <v>0</v>
      </c>
      <c r="J223" s="18">
        <f t="shared" si="21"/>
        <v>1551.6</v>
      </c>
      <c r="K223" s="18">
        <f t="shared" si="21"/>
        <v>49928.43</v>
      </c>
      <c r="L223" s="18">
        <f t="shared" si="21"/>
        <v>5056.09</v>
      </c>
      <c r="M223" s="18">
        <f t="shared" si="21"/>
        <v>2701.88</v>
      </c>
      <c r="N223" s="18">
        <f t="shared" si="21"/>
        <v>296360.8</v>
      </c>
      <c r="O223" s="18">
        <f t="shared" si="21"/>
        <v>3033.65</v>
      </c>
      <c r="P223" s="18">
        <f t="shared" si="21"/>
        <v>29185.55</v>
      </c>
      <c r="Q223" s="29">
        <v>598808.93999999994</v>
      </c>
      <c r="R223" s="16">
        <f t="shared" si="1"/>
        <v>-1191.0600000000559</v>
      </c>
      <c r="S223" s="16">
        <f t="shared" si="2"/>
        <v>99.801489999999987</v>
      </c>
    </row>
    <row r="224" spans="1:19" x14ac:dyDescent="0.25">
      <c r="A224" s="13"/>
      <c r="B224" s="19">
        <v>32478033</v>
      </c>
      <c r="C224" s="20" t="s">
        <v>171</v>
      </c>
      <c r="D224" s="15"/>
      <c r="E224" s="22">
        <v>150287.14000000001</v>
      </c>
      <c r="F224" s="22">
        <v>0</v>
      </c>
      <c r="G224" s="22">
        <v>0</v>
      </c>
      <c r="H224" s="22">
        <v>49928.43</v>
      </c>
      <c r="I224" s="23">
        <v>0</v>
      </c>
      <c r="J224" s="23">
        <v>0</v>
      </c>
      <c r="K224" s="23">
        <v>49928.43</v>
      </c>
      <c r="L224" s="23">
        <v>0</v>
      </c>
      <c r="M224" s="23">
        <v>0</v>
      </c>
      <c r="N224" s="23">
        <v>250242.37</v>
      </c>
      <c r="O224" s="23">
        <v>0</v>
      </c>
      <c r="P224" s="23">
        <v>0</v>
      </c>
      <c r="Q224" s="29">
        <f>SUM(E224:P224)</f>
        <v>500386.37</v>
      </c>
      <c r="R224" s="16"/>
      <c r="S224" s="16"/>
    </row>
    <row r="225" spans="1:19" x14ac:dyDescent="0.25">
      <c r="A225" s="13"/>
      <c r="B225" s="19">
        <v>22832830</v>
      </c>
      <c r="C225" s="20" t="s">
        <v>262</v>
      </c>
      <c r="D225" s="15"/>
      <c r="E225" s="22">
        <v>0</v>
      </c>
      <c r="F225" s="22">
        <v>1011.3</v>
      </c>
      <c r="G225" s="22">
        <v>0</v>
      </c>
      <c r="H225" s="22">
        <v>0</v>
      </c>
      <c r="I225" s="23">
        <v>0</v>
      </c>
      <c r="J225" s="23">
        <v>1011.22</v>
      </c>
      <c r="K225" s="23">
        <v>0</v>
      </c>
      <c r="L225" s="23">
        <v>5056.09</v>
      </c>
      <c r="M225" s="23">
        <v>0</v>
      </c>
      <c r="N225" s="23">
        <v>0</v>
      </c>
      <c r="O225" s="23">
        <v>3033.65</v>
      </c>
      <c r="P225" s="23">
        <v>0</v>
      </c>
      <c r="Q225" s="29">
        <f t="shared" ref="Q225:Q227" si="22">SUM(E225:P225)</f>
        <v>10112.26</v>
      </c>
      <c r="R225" s="16"/>
      <c r="S225" s="16"/>
    </row>
    <row r="226" spans="1:19" x14ac:dyDescent="0.25">
      <c r="A226" s="13"/>
      <c r="B226" s="19">
        <v>22844750</v>
      </c>
      <c r="C226" s="20" t="s">
        <v>99</v>
      </c>
      <c r="D226" s="15"/>
      <c r="E226" s="22">
        <v>0</v>
      </c>
      <c r="F226" s="22">
        <v>0</v>
      </c>
      <c r="G226" s="22">
        <v>540.38</v>
      </c>
      <c r="H226" s="22">
        <v>0</v>
      </c>
      <c r="I226" s="23">
        <v>0</v>
      </c>
      <c r="J226" s="23">
        <v>540.38</v>
      </c>
      <c r="K226" s="23">
        <v>0</v>
      </c>
      <c r="L226" s="23">
        <v>0</v>
      </c>
      <c r="M226" s="23">
        <v>2701.88</v>
      </c>
      <c r="N226" s="23">
        <v>0</v>
      </c>
      <c r="O226" s="23">
        <v>0</v>
      </c>
      <c r="P226" s="23">
        <v>1621.11</v>
      </c>
      <c r="Q226" s="29">
        <f t="shared" si="22"/>
        <v>5403.75</v>
      </c>
      <c r="R226" s="16"/>
      <c r="S226" s="16"/>
    </row>
    <row r="227" spans="1:19" x14ac:dyDescent="0.25">
      <c r="A227" s="13"/>
      <c r="B227" s="19">
        <v>32464984</v>
      </c>
      <c r="C227" s="20" t="s">
        <v>103</v>
      </c>
      <c r="D227" s="15"/>
      <c r="E227" s="22">
        <v>0</v>
      </c>
      <c r="F227" s="22">
        <v>0</v>
      </c>
      <c r="G227" s="22">
        <v>0</v>
      </c>
      <c r="H227" s="22">
        <v>9223.69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46118.43</v>
      </c>
      <c r="O227" s="23">
        <v>0</v>
      </c>
      <c r="P227" s="23">
        <v>27564.44</v>
      </c>
      <c r="Q227" s="29">
        <f t="shared" si="22"/>
        <v>82906.559999999998</v>
      </c>
      <c r="R227" s="16"/>
      <c r="S227" s="16"/>
    </row>
    <row r="228" spans="1:19" x14ac:dyDescent="0.25">
      <c r="A228" s="13">
        <v>0</v>
      </c>
      <c r="B228" s="13" t="s">
        <v>46</v>
      </c>
      <c r="C228" s="14" t="s">
        <v>47</v>
      </c>
      <c r="D228" s="15">
        <v>0</v>
      </c>
      <c r="E228" s="29">
        <v>0</v>
      </c>
      <c r="F228" s="29">
        <v>0</v>
      </c>
      <c r="G228" s="29">
        <v>0</v>
      </c>
      <c r="H228" s="29">
        <v>0</v>
      </c>
      <c r="I228" s="29">
        <v>0</v>
      </c>
      <c r="J228" s="29">
        <v>0</v>
      </c>
      <c r="K228" s="29">
        <v>68</v>
      </c>
      <c r="L228" s="36">
        <v>1700</v>
      </c>
      <c r="M228" s="29">
        <v>0</v>
      </c>
      <c r="N228" s="29">
        <v>952</v>
      </c>
      <c r="O228" s="29">
        <v>0</v>
      </c>
      <c r="P228" s="29">
        <v>34</v>
      </c>
      <c r="Q228" s="29">
        <v>2754</v>
      </c>
      <c r="R228" s="16">
        <f t="shared" si="1"/>
        <v>2754</v>
      </c>
      <c r="S228" s="16">
        <f t="shared" si="2"/>
        <v>0</v>
      </c>
    </row>
    <row r="229" spans="1:19" ht="38.25" x14ac:dyDescent="0.25">
      <c r="A229" s="13">
        <v>0</v>
      </c>
      <c r="B229" s="13" t="s">
        <v>48</v>
      </c>
      <c r="C229" s="14" t="s">
        <v>49</v>
      </c>
      <c r="D229" s="15">
        <v>0</v>
      </c>
      <c r="E229" s="18">
        <v>8510</v>
      </c>
      <c r="F229" s="18">
        <v>5440</v>
      </c>
      <c r="G229" s="18">
        <v>680</v>
      </c>
      <c r="H229" s="18">
        <v>0</v>
      </c>
      <c r="I229" s="35">
        <v>680</v>
      </c>
      <c r="J229" s="35">
        <v>0</v>
      </c>
      <c r="K229" s="35">
        <v>0</v>
      </c>
      <c r="L229" s="35">
        <v>0</v>
      </c>
      <c r="M229" s="35">
        <v>0</v>
      </c>
      <c r="N229" s="35">
        <v>110</v>
      </c>
      <c r="O229" s="35">
        <v>1020</v>
      </c>
      <c r="P229" s="35">
        <v>880</v>
      </c>
      <c r="Q229" s="29">
        <v>17320</v>
      </c>
      <c r="R229" s="16">
        <f t="shared" si="1"/>
        <v>17320</v>
      </c>
      <c r="S229" s="16">
        <f t="shared" si="2"/>
        <v>0</v>
      </c>
    </row>
    <row r="230" spans="1:19" x14ac:dyDescent="0.25">
      <c r="A230" s="13">
        <v>0</v>
      </c>
      <c r="B230" s="13" t="s">
        <v>50</v>
      </c>
      <c r="C230" s="14" t="s">
        <v>51</v>
      </c>
      <c r="D230" s="15">
        <v>25000</v>
      </c>
      <c r="E230" s="18">
        <v>56.1</v>
      </c>
      <c r="F230" s="18">
        <v>54.4</v>
      </c>
      <c r="G230" s="18">
        <f>13.6+27.2+40.8</f>
        <v>81.599999999999994</v>
      </c>
      <c r="H230" s="18">
        <v>0</v>
      </c>
      <c r="I230" s="35">
        <v>14.45</v>
      </c>
      <c r="J230" s="29">
        <v>96.05</v>
      </c>
      <c r="K230" s="29">
        <v>68.849999999999994</v>
      </c>
      <c r="L230" s="36">
        <v>176.8</v>
      </c>
      <c r="M230" s="29">
        <v>122.4</v>
      </c>
      <c r="N230" s="29">
        <v>258.39999999999998</v>
      </c>
      <c r="O230" s="29">
        <v>123.42</v>
      </c>
      <c r="P230" s="29">
        <v>466.2</v>
      </c>
      <c r="Q230" s="29">
        <v>1518.67</v>
      </c>
      <c r="R230" s="16">
        <f t="shared" si="1"/>
        <v>-23481.33</v>
      </c>
      <c r="S230" s="16">
        <f t="shared" si="2"/>
        <v>6.0746800000000007</v>
      </c>
    </row>
    <row r="231" spans="1:19" ht="25.5" x14ac:dyDescent="0.25">
      <c r="A231" s="13">
        <v>0</v>
      </c>
      <c r="B231" s="13" t="s">
        <v>52</v>
      </c>
      <c r="C231" s="14" t="s">
        <v>53</v>
      </c>
      <c r="D231" s="15">
        <v>85000</v>
      </c>
      <c r="E231" s="18">
        <v>35570</v>
      </c>
      <c r="F231" s="18">
        <v>13300</v>
      </c>
      <c r="G231" s="18">
        <f>60+11322+782+230+11000+460+16860+506+230+1100</f>
        <v>42550</v>
      </c>
      <c r="H231" s="18">
        <f>184+450+11184+460+276+110+230+690+920</f>
        <v>14504</v>
      </c>
      <c r="I231" s="35">
        <v>14524</v>
      </c>
      <c r="J231" s="35">
        <v>29750</v>
      </c>
      <c r="K231" s="36">
        <v>52576</v>
      </c>
      <c r="L231" s="36">
        <v>2410</v>
      </c>
      <c r="M231" s="36">
        <v>1380</v>
      </c>
      <c r="N231" s="36">
        <v>2852</v>
      </c>
      <c r="O231" s="36">
        <v>9562</v>
      </c>
      <c r="P231" s="36">
        <v>5070</v>
      </c>
      <c r="Q231" s="29">
        <v>224048</v>
      </c>
      <c r="R231" s="16">
        <f t="shared" si="1"/>
        <v>139048</v>
      </c>
      <c r="S231" s="16">
        <f t="shared" si="2"/>
        <v>263.58588235294116</v>
      </c>
    </row>
    <row r="232" spans="1:19" ht="38.25" x14ac:dyDescent="0.25">
      <c r="A232" s="13">
        <v>0</v>
      </c>
      <c r="B232" s="13" t="s">
        <v>54</v>
      </c>
      <c r="C232" s="14" t="s">
        <v>55</v>
      </c>
      <c r="D232" s="15">
        <v>75000</v>
      </c>
      <c r="E232" s="18">
        <v>100.34</v>
      </c>
      <c r="F232" s="18">
        <f t="shared" ref="F232:P232" si="23">SUM(F233:F235)</f>
        <v>9753.2900000000009</v>
      </c>
      <c r="G232" s="18">
        <f t="shared" si="23"/>
        <v>7203.0400000000009</v>
      </c>
      <c r="H232" s="18">
        <f t="shared" si="23"/>
        <v>5041.49</v>
      </c>
      <c r="I232" s="18">
        <f t="shared" si="23"/>
        <v>5076.78</v>
      </c>
      <c r="J232" s="18">
        <f t="shared" si="23"/>
        <v>5142.78</v>
      </c>
      <c r="K232" s="18">
        <f t="shared" si="23"/>
        <v>8272.6299999999992</v>
      </c>
      <c r="L232" s="18">
        <f t="shared" si="23"/>
        <v>5158.22</v>
      </c>
      <c r="M232" s="18">
        <f t="shared" si="23"/>
        <v>5147.8999999999996</v>
      </c>
      <c r="N232" s="18">
        <f t="shared" si="23"/>
        <v>5209.67</v>
      </c>
      <c r="O232" s="18">
        <f t="shared" si="23"/>
        <v>8445.68</v>
      </c>
      <c r="P232" s="18">
        <f t="shared" si="23"/>
        <v>5298.61</v>
      </c>
      <c r="Q232" s="29">
        <v>69850.429999999993</v>
      </c>
      <c r="R232" s="16">
        <f t="shared" si="1"/>
        <v>-5149.570000000007</v>
      </c>
      <c r="S232" s="16">
        <f t="shared" si="2"/>
        <v>93.133906666666661</v>
      </c>
    </row>
    <row r="233" spans="1:19" x14ac:dyDescent="0.25">
      <c r="A233" s="13"/>
      <c r="B233" s="30"/>
      <c r="C233" s="20" t="s">
        <v>263</v>
      </c>
      <c r="D233" s="15"/>
      <c r="E233" s="22">
        <v>100.34</v>
      </c>
      <c r="F233" s="22">
        <v>0</v>
      </c>
      <c r="G233" s="22">
        <v>0</v>
      </c>
      <c r="H233" s="22">
        <v>0</v>
      </c>
      <c r="I233" s="22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9">
        <f>SUM(E233:P233)</f>
        <v>100.34</v>
      </c>
      <c r="R233" s="16"/>
      <c r="S233" s="16"/>
    </row>
    <row r="234" spans="1:19" x14ac:dyDescent="0.25">
      <c r="A234" s="13"/>
      <c r="B234" s="19">
        <v>21673832</v>
      </c>
      <c r="C234" s="20" t="s">
        <v>264</v>
      </c>
      <c r="D234" s="15"/>
      <c r="E234" s="22">
        <v>0</v>
      </c>
      <c r="F234" s="22">
        <v>9753.2900000000009</v>
      </c>
      <c r="G234" s="22">
        <v>4957.22</v>
      </c>
      <c r="H234" s="22">
        <v>5041.49</v>
      </c>
      <c r="I234" s="23">
        <v>5076.78</v>
      </c>
      <c r="J234" s="23">
        <v>5142.78</v>
      </c>
      <c r="K234" s="23">
        <v>5153.07</v>
      </c>
      <c r="L234" s="23">
        <v>5158.22</v>
      </c>
      <c r="M234" s="23">
        <v>5147.8999999999996</v>
      </c>
      <c r="N234" s="23">
        <v>5209.67</v>
      </c>
      <c r="O234" s="23">
        <v>5256.56</v>
      </c>
      <c r="P234" s="23">
        <v>5298.61</v>
      </c>
      <c r="Q234" s="29">
        <f t="shared" ref="Q234:Q235" si="24">SUM(E234:P234)</f>
        <v>61195.59</v>
      </c>
      <c r="R234" s="16"/>
      <c r="S234" s="16"/>
    </row>
    <row r="235" spans="1:19" x14ac:dyDescent="0.25">
      <c r="A235" s="13"/>
      <c r="B235" s="19">
        <v>21560766</v>
      </c>
      <c r="C235" s="20" t="s">
        <v>265</v>
      </c>
      <c r="D235" s="15"/>
      <c r="E235" s="22">
        <v>0</v>
      </c>
      <c r="F235" s="22">
        <v>0</v>
      </c>
      <c r="G235" s="22">
        <v>2245.8200000000002</v>
      </c>
      <c r="H235" s="22">
        <v>0</v>
      </c>
      <c r="I235" s="23">
        <v>0</v>
      </c>
      <c r="J235" s="23">
        <v>0</v>
      </c>
      <c r="K235" s="23">
        <v>3119.56</v>
      </c>
      <c r="L235" s="23">
        <v>0</v>
      </c>
      <c r="M235" s="23">
        <v>0</v>
      </c>
      <c r="N235" s="23">
        <v>0</v>
      </c>
      <c r="O235" s="23">
        <v>3189.12</v>
      </c>
      <c r="P235" s="23">
        <v>0</v>
      </c>
      <c r="Q235" s="29">
        <f t="shared" si="24"/>
        <v>8554.5</v>
      </c>
      <c r="R235" s="16"/>
      <c r="S235" s="16"/>
    </row>
    <row r="236" spans="1:19" ht="38.25" x14ac:dyDescent="0.25">
      <c r="A236" s="13">
        <v>0</v>
      </c>
      <c r="B236" s="13" t="s">
        <v>56</v>
      </c>
      <c r="C236" s="14" t="s">
        <v>57</v>
      </c>
      <c r="D236" s="15">
        <v>0</v>
      </c>
      <c r="E236" s="18">
        <v>5.27</v>
      </c>
      <c r="F236" s="18">
        <v>11.9</v>
      </c>
      <c r="G236" s="18">
        <f>0.85+0.68+0.34+0.34+1.02+1.36</f>
        <v>4.59</v>
      </c>
      <c r="H236" s="18">
        <f>1.02+4.08+0.85+0.34+0.34+0.34+0.68+0.85+0.34</f>
        <v>8.8399999999999981</v>
      </c>
      <c r="I236" s="35">
        <v>4.76</v>
      </c>
      <c r="J236" s="35">
        <v>6.12</v>
      </c>
      <c r="K236" s="36">
        <v>5.95</v>
      </c>
      <c r="L236" s="36">
        <v>8.33</v>
      </c>
      <c r="M236" s="36">
        <v>8.67</v>
      </c>
      <c r="N236" s="36">
        <v>6.8</v>
      </c>
      <c r="O236" s="36">
        <v>9.18</v>
      </c>
      <c r="P236" s="36">
        <v>8.16</v>
      </c>
      <c r="Q236" s="29">
        <v>88.57</v>
      </c>
      <c r="R236" s="16">
        <f t="shared" si="1"/>
        <v>88.57</v>
      </c>
      <c r="S236" s="16">
        <f t="shared" si="2"/>
        <v>0</v>
      </c>
    </row>
    <row r="237" spans="1:19" ht="38.25" x14ac:dyDescent="0.25">
      <c r="A237" s="13">
        <v>0</v>
      </c>
      <c r="B237" s="13" t="s">
        <v>58</v>
      </c>
      <c r="C237" s="14" t="s">
        <v>59</v>
      </c>
      <c r="D237" s="15">
        <v>0</v>
      </c>
      <c r="E237" s="18">
        <v>34</v>
      </c>
      <c r="F237" s="18">
        <v>0</v>
      </c>
      <c r="G237" s="18">
        <v>34</v>
      </c>
      <c r="H237" s="18">
        <v>34</v>
      </c>
      <c r="I237" s="35">
        <v>0</v>
      </c>
      <c r="J237" s="35">
        <v>0</v>
      </c>
      <c r="K237" s="35">
        <v>0</v>
      </c>
      <c r="L237" s="35">
        <v>68</v>
      </c>
      <c r="M237" s="35">
        <v>0</v>
      </c>
      <c r="N237" s="35">
        <v>34</v>
      </c>
      <c r="O237" s="35">
        <v>34</v>
      </c>
      <c r="P237" s="35">
        <v>34</v>
      </c>
      <c r="Q237" s="29">
        <v>272</v>
      </c>
      <c r="R237" s="16">
        <f t="shared" si="1"/>
        <v>272</v>
      </c>
      <c r="S237" s="16">
        <f t="shared" si="2"/>
        <v>0</v>
      </c>
    </row>
    <row r="238" spans="1:19" x14ac:dyDescent="0.25">
      <c r="A238" s="13">
        <v>0</v>
      </c>
      <c r="B238" s="13" t="s">
        <v>60</v>
      </c>
      <c r="C238" s="14" t="s">
        <v>61</v>
      </c>
      <c r="D238" s="15">
        <v>5560100</v>
      </c>
      <c r="E238" s="18">
        <v>463300</v>
      </c>
      <c r="F238" s="18">
        <v>463300</v>
      </c>
      <c r="G238" s="18">
        <f t="shared" ref="G238:M238" si="25">154433.33+154433.33+154433.34</f>
        <v>463300</v>
      </c>
      <c r="H238" s="18">
        <f t="shared" si="25"/>
        <v>463300</v>
      </c>
      <c r="I238" s="18">
        <f t="shared" si="25"/>
        <v>463300</v>
      </c>
      <c r="J238" s="18">
        <f t="shared" si="25"/>
        <v>463300</v>
      </c>
      <c r="K238" s="18">
        <f t="shared" si="25"/>
        <v>463300</v>
      </c>
      <c r="L238" s="18">
        <f t="shared" si="25"/>
        <v>463300</v>
      </c>
      <c r="M238" s="18">
        <f t="shared" si="25"/>
        <v>463300</v>
      </c>
      <c r="N238" s="18">
        <v>463300</v>
      </c>
      <c r="O238" s="18">
        <v>463300</v>
      </c>
      <c r="P238" s="18">
        <v>463800</v>
      </c>
      <c r="Q238" s="29">
        <v>5560100</v>
      </c>
      <c r="R238" s="16">
        <f t="shared" si="1"/>
        <v>0</v>
      </c>
      <c r="S238" s="16">
        <f t="shared" si="2"/>
        <v>100</v>
      </c>
    </row>
    <row r="239" spans="1:19" ht="25.5" x14ac:dyDescent="0.25">
      <c r="A239" s="13">
        <v>0</v>
      </c>
      <c r="B239" s="13" t="s">
        <v>62</v>
      </c>
      <c r="C239" s="14" t="s">
        <v>63</v>
      </c>
      <c r="D239" s="15">
        <v>11093900</v>
      </c>
      <c r="E239" s="39">
        <v>692500</v>
      </c>
      <c r="F239" s="39">
        <v>808500</v>
      </c>
      <c r="G239" s="39">
        <f>421000+421000</f>
        <v>842000</v>
      </c>
      <c r="H239" s="39">
        <f>426600+426600</f>
        <v>853200</v>
      </c>
      <c r="I239" s="35">
        <v>1098900</v>
      </c>
      <c r="J239" s="35">
        <v>2123000</v>
      </c>
      <c r="K239" s="36">
        <v>384100</v>
      </c>
      <c r="L239" s="29">
        <v>439900</v>
      </c>
      <c r="M239" s="36">
        <v>920200</v>
      </c>
      <c r="N239" s="39">
        <v>931400</v>
      </c>
      <c r="O239" s="29">
        <v>964900</v>
      </c>
      <c r="P239" s="29">
        <v>1035300</v>
      </c>
      <c r="Q239" s="29">
        <v>11093900</v>
      </c>
      <c r="R239" s="16">
        <f t="shared" si="1"/>
        <v>0</v>
      </c>
      <c r="S239" s="16">
        <f t="shared" si="2"/>
        <v>100</v>
      </c>
    </row>
    <row r="240" spans="1:19" ht="38.25" x14ac:dyDescent="0.25">
      <c r="A240" s="13">
        <v>0</v>
      </c>
      <c r="B240" s="13" t="s">
        <v>64</v>
      </c>
      <c r="C240" s="14" t="s">
        <v>65</v>
      </c>
      <c r="D240" s="15">
        <v>795372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52000</v>
      </c>
      <c r="N240" s="36">
        <v>164000</v>
      </c>
      <c r="O240" s="36">
        <v>164000</v>
      </c>
      <c r="P240" s="37">
        <v>415372</v>
      </c>
      <c r="Q240" s="29">
        <v>795372</v>
      </c>
      <c r="R240" s="16">
        <f t="shared" si="1"/>
        <v>0</v>
      </c>
      <c r="S240" s="16">
        <f t="shared" si="2"/>
        <v>100</v>
      </c>
    </row>
    <row r="241" spans="1:19" ht="51" x14ac:dyDescent="0.25">
      <c r="A241" s="13">
        <v>0</v>
      </c>
      <c r="B241" s="13" t="s">
        <v>66</v>
      </c>
      <c r="C241" s="14" t="s">
        <v>67</v>
      </c>
      <c r="D241" s="15">
        <v>1825300</v>
      </c>
      <c r="E241" s="39">
        <v>0</v>
      </c>
      <c r="F241" s="39">
        <v>243600</v>
      </c>
      <c r="G241" s="39">
        <v>121800</v>
      </c>
      <c r="H241" s="39">
        <v>121800</v>
      </c>
      <c r="I241" s="35">
        <v>201500</v>
      </c>
      <c r="J241" s="35">
        <v>162400</v>
      </c>
      <c r="K241" s="36">
        <v>162400</v>
      </c>
      <c r="L241" s="36">
        <v>162400</v>
      </c>
      <c r="M241" s="36">
        <v>162400</v>
      </c>
      <c r="N241" s="39">
        <v>162400</v>
      </c>
      <c r="O241" s="39">
        <v>162400</v>
      </c>
      <c r="P241" s="39">
        <v>162200</v>
      </c>
      <c r="Q241" s="29">
        <v>1825300</v>
      </c>
      <c r="R241" s="16">
        <f t="shared" si="1"/>
        <v>0</v>
      </c>
      <c r="S241" s="16">
        <f t="shared" si="2"/>
        <v>100</v>
      </c>
    </row>
    <row r="242" spans="1:19" ht="63.75" x14ac:dyDescent="0.25">
      <c r="A242" s="13">
        <v>0</v>
      </c>
      <c r="B242" s="13" t="s">
        <v>68</v>
      </c>
      <c r="C242" s="14" t="s">
        <v>69</v>
      </c>
      <c r="D242" s="15">
        <v>100000</v>
      </c>
      <c r="E242" s="39">
        <v>0</v>
      </c>
      <c r="F242" s="39">
        <v>0</v>
      </c>
      <c r="G242" s="39">
        <v>0</v>
      </c>
      <c r="H242" s="39">
        <v>0</v>
      </c>
      <c r="I242" s="39">
        <v>0</v>
      </c>
      <c r="J242" s="39">
        <v>0</v>
      </c>
      <c r="K242" s="39">
        <v>0</v>
      </c>
      <c r="L242" s="39">
        <v>0</v>
      </c>
      <c r="M242" s="39">
        <v>0</v>
      </c>
      <c r="N242" s="39">
        <v>0</v>
      </c>
      <c r="O242" s="39">
        <v>0</v>
      </c>
      <c r="P242" s="39">
        <v>100000</v>
      </c>
      <c r="Q242" s="29">
        <v>100000</v>
      </c>
      <c r="R242" s="16">
        <f t="shared" si="1"/>
        <v>0</v>
      </c>
      <c r="S242" s="16">
        <f t="shared" si="2"/>
        <v>100</v>
      </c>
    </row>
    <row r="243" spans="1:19" ht="38.25" x14ac:dyDescent="0.25">
      <c r="A243" s="13">
        <v>0</v>
      </c>
      <c r="B243" s="13" t="s">
        <v>70</v>
      </c>
      <c r="C243" s="14" t="s">
        <v>71</v>
      </c>
      <c r="D243" s="15">
        <v>64800</v>
      </c>
      <c r="E243" s="39">
        <v>3200</v>
      </c>
      <c r="F243" s="39">
        <v>3200</v>
      </c>
      <c r="G243" s="39">
        <v>3200</v>
      </c>
      <c r="H243" s="39">
        <v>4600</v>
      </c>
      <c r="I243" s="35">
        <v>3600</v>
      </c>
      <c r="J243" s="35">
        <v>10050</v>
      </c>
      <c r="K243" s="36">
        <v>3600</v>
      </c>
      <c r="L243" s="36">
        <v>3600</v>
      </c>
      <c r="M243" s="36">
        <v>3600</v>
      </c>
      <c r="N243" s="39">
        <v>3600</v>
      </c>
      <c r="O243" s="39">
        <v>10050</v>
      </c>
      <c r="P243" s="39">
        <v>12500</v>
      </c>
      <c r="Q243" s="29">
        <v>64800</v>
      </c>
      <c r="R243" s="16">
        <f t="shared" si="1"/>
        <v>0</v>
      </c>
      <c r="S243" s="16">
        <f t="shared" si="2"/>
        <v>100</v>
      </c>
    </row>
    <row r="244" spans="1:19" ht="51" x14ac:dyDescent="0.25">
      <c r="A244" s="13">
        <v>0</v>
      </c>
      <c r="B244" s="13" t="s">
        <v>72</v>
      </c>
      <c r="C244" s="14" t="s">
        <v>73</v>
      </c>
      <c r="D244" s="15">
        <v>187100</v>
      </c>
      <c r="E244" s="29">
        <v>0</v>
      </c>
      <c r="F244" s="29">
        <v>0</v>
      </c>
      <c r="G244" s="29">
        <v>0</v>
      </c>
      <c r="H244" s="29">
        <v>0</v>
      </c>
      <c r="I244" s="29">
        <v>0</v>
      </c>
      <c r="J244" s="29">
        <v>0</v>
      </c>
      <c r="K244" s="36">
        <v>58400</v>
      </c>
      <c r="L244" s="36">
        <v>53800</v>
      </c>
      <c r="M244" s="36">
        <v>74900</v>
      </c>
      <c r="N244" s="29">
        <v>0</v>
      </c>
      <c r="O244" s="29">
        <v>0</v>
      </c>
      <c r="P244" s="29">
        <v>-30672.799999999999</v>
      </c>
      <c r="Q244" s="29">
        <v>156427.20000000001</v>
      </c>
      <c r="R244" s="16">
        <f t="shared" si="1"/>
        <v>-30672.799999999988</v>
      </c>
      <c r="S244" s="16">
        <f t="shared" si="2"/>
        <v>83.606199893105298</v>
      </c>
    </row>
    <row r="245" spans="1:19" x14ac:dyDescent="0.25">
      <c r="A245" s="13">
        <v>0</v>
      </c>
      <c r="B245" s="13" t="s">
        <v>74</v>
      </c>
      <c r="C245" s="14" t="s">
        <v>75</v>
      </c>
      <c r="D245" s="15">
        <v>660400</v>
      </c>
      <c r="E245" s="29">
        <v>0</v>
      </c>
      <c r="F245" s="29">
        <v>0</v>
      </c>
      <c r="G245" s="29">
        <v>0</v>
      </c>
      <c r="H245" s="29">
        <v>0</v>
      </c>
      <c r="I245" s="29">
        <v>0</v>
      </c>
      <c r="J245" s="29">
        <v>0</v>
      </c>
      <c r="K245" s="36">
        <v>0</v>
      </c>
      <c r="L245" s="36">
        <v>26800</v>
      </c>
      <c r="M245" s="36">
        <v>13400</v>
      </c>
      <c r="N245" s="29">
        <v>0</v>
      </c>
      <c r="O245" s="29">
        <v>31200</v>
      </c>
      <c r="P245" s="29">
        <v>542502</v>
      </c>
      <c r="Q245" s="29">
        <v>613902</v>
      </c>
      <c r="R245" s="16">
        <f t="shared" si="1"/>
        <v>-46498</v>
      </c>
      <c r="S245" s="16">
        <f t="shared" si="2"/>
        <v>92.959115687462145</v>
      </c>
    </row>
    <row r="246" spans="1:19" x14ac:dyDescent="0.2">
      <c r="A246" s="13">
        <v>1</v>
      </c>
      <c r="B246" s="13" t="s">
        <v>76</v>
      </c>
      <c r="C246" s="14" t="s">
        <v>77</v>
      </c>
      <c r="D246" s="15">
        <v>10082000</v>
      </c>
      <c r="E246" s="40">
        <f>E237+E236+E232+E231+E230+E229+E228+E223+E154+E124+E123+E112+E103+E97+E96+E95+E94+E85+E82+E81+E79+E42+E39+E8</f>
        <v>736111.71</v>
      </c>
      <c r="F246" s="40">
        <f t="shared" ref="F246:P246" si="26">F237+F236+F232+F231+F230+F229+F228+F223+F154+F124+F123+F112+F103+F97+F96+F95+F94+F85+F82+F81+F79+F42+F39+F8</f>
        <v>1125981.1499999999</v>
      </c>
      <c r="G246" s="40">
        <f t="shared" si="26"/>
        <v>524530.84000000008</v>
      </c>
      <c r="H246" s="40">
        <f t="shared" si="26"/>
        <v>669690.24999999988</v>
      </c>
      <c r="I246" s="40">
        <f t="shared" si="26"/>
        <v>791898.72000000009</v>
      </c>
      <c r="J246" s="40">
        <f t="shared" si="26"/>
        <v>735600.05</v>
      </c>
      <c r="K246" s="40">
        <f t="shared" si="26"/>
        <v>746453.02</v>
      </c>
      <c r="L246" s="40">
        <f t="shared" si="26"/>
        <v>1500639.8599999999</v>
      </c>
      <c r="M246" s="40">
        <f t="shared" si="26"/>
        <v>733599.97</v>
      </c>
      <c r="N246" s="40">
        <f t="shared" si="26"/>
        <v>809648.4700000002</v>
      </c>
      <c r="O246" s="40">
        <f t="shared" si="26"/>
        <v>764104.8</v>
      </c>
      <c r="P246" s="40">
        <f t="shared" si="26"/>
        <v>774857.52</v>
      </c>
      <c r="Q246" s="29">
        <v>9949929.1699999999</v>
      </c>
      <c r="R246" s="16">
        <f t="shared" si="1"/>
        <v>-132070.83000000007</v>
      </c>
      <c r="S246" s="16">
        <f t="shared" si="2"/>
        <v>98.690033425907558</v>
      </c>
    </row>
    <row r="247" spans="1:19" x14ac:dyDescent="0.2">
      <c r="A247" s="13">
        <v>1</v>
      </c>
      <c r="B247" s="13" t="s">
        <v>76</v>
      </c>
      <c r="C247" s="14" t="s">
        <v>78</v>
      </c>
      <c r="D247" s="15">
        <v>30368972</v>
      </c>
      <c r="E247" s="40">
        <f>E246+SUM(E238:E245)</f>
        <v>1895111.71</v>
      </c>
      <c r="F247" s="40">
        <f t="shared" ref="F247:P247" si="27">F246+SUM(F238:F245)</f>
        <v>2644581.15</v>
      </c>
      <c r="G247" s="40">
        <f t="shared" si="27"/>
        <v>1954830.84</v>
      </c>
      <c r="H247" s="40">
        <f t="shared" si="27"/>
        <v>2112590.25</v>
      </c>
      <c r="I247" s="40">
        <f t="shared" si="27"/>
        <v>2559198.7200000002</v>
      </c>
      <c r="J247" s="40">
        <f t="shared" si="27"/>
        <v>3494350.05</v>
      </c>
      <c r="K247" s="40">
        <f t="shared" si="27"/>
        <v>1818253.02</v>
      </c>
      <c r="L247" s="40">
        <f t="shared" si="27"/>
        <v>2650439.86</v>
      </c>
      <c r="M247" s="40">
        <f t="shared" si="27"/>
        <v>2423399.9699999997</v>
      </c>
      <c r="N247" s="40">
        <f t="shared" si="27"/>
        <v>2534348.4700000002</v>
      </c>
      <c r="O247" s="40">
        <f t="shared" si="27"/>
        <v>2559954.7999999998</v>
      </c>
      <c r="P247" s="40">
        <f t="shared" si="27"/>
        <v>3475858.72</v>
      </c>
      <c r="Q247" s="29">
        <v>30159730.370000001</v>
      </c>
      <c r="R247" s="16">
        <f t="shared" si="1"/>
        <v>-209241.62999999896</v>
      </c>
      <c r="S247" s="16">
        <f t="shared" si="2"/>
        <v>99.3110019331573</v>
      </c>
    </row>
  </sheetData>
  <mergeCells count="2">
    <mergeCell ref="B3:S3"/>
    <mergeCell ref="B5:S5"/>
  </mergeCells>
  <conditionalFormatting sqref="B8 B39 B42 B76:B79 B81:B82 B85 B94:B97 B103 B112 B123:B124 B150:B151 B154 B223 B228:B232 B236:B247">
    <cfRule type="expression" dxfId="288" priority="272" stopIfTrue="1">
      <formula>A8=1</formula>
    </cfRule>
  </conditionalFormatting>
  <conditionalFormatting sqref="C8 C39 C42 C76:C79 C81:C82 C85 C94:C97 C103 C112 C123:C124 C150:C151 C154 C223 C228:C232 C236:C247">
    <cfRule type="expression" dxfId="287" priority="273" stopIfTrue="1">
      <formula>A8=1</formula>
    </cfRule>
  </conditionalFormatting>
  <conditionalFormatting sqref="D8:D75 D76:O78 D79:D149 D150:O150 D151:D245 D246:P247">
    <cfRule type="expression" dxfId="286" priority="274" stopIfTrue="1">
      <formula>A8=1</formula>
    </cfRule>
  </conditionalFormatting>
  <conditionalFormatting sqref="P10 P20 P28:P32 P16:P18 P12:P14 P22:P25 P38 P40:P41 P53 P76:P78 P83:P84 P86:P93 P98:P102 P114 P106 P120:P122 P117 P125 P143 P149:P150 P153 P157 P198:P200 P160 P163 P178:P179 P194 P176 P168:P169 P172 P196 P216 P218 P210:P214 P181 P183:P192 P221:P222 P224:P227 P233:P235 P240">
    <cfRule type="expression" dxfId="285" priority="275" stopIfTrue="1">
      <formula>B10=1</formula>
    </cfRule>
  </conditionalFormatting>
  <conditionalFormatting sqref="Q8:Q247">
    <cfRule type="expression" dxfId="284" priority="277" stopIfTrue="1">
      <formula>A8=1</formula>
    </cfRule>
  </conditionalFormatting>
  <conditionalFormatting sqref="R8:R247">
    <cfRule type="expression" dxfId="283" priority="278" stopIfTrue="1">
      <formula>A8=1</formula>
    </cfRule>
  </conditionalFormatting>
  <conditionalFormatting sqref="S8:S247">
    <cfRule type="expression" dxfId="282" priority="279" stopIfTrue="1">
      <formula>A8=1</formula>
    </cfRule>
  </conditionalFormatting>
  <conditionalFormatting sqref="M236:P236">
    <cfRule type="expression" dxfId="50" priority="51" stopIfTrue="1">
      <formula>A236=1</formula>
    </cfRule>
  </conditionalFormatting>
  <conditionalFormatting sqref="L236">
    <cfRule type="expression" dxfId="49" priority="50" stopIfTrue="1">
      <formula>XFD236=1</formula>
    </cfRule>
  </conditionalFormatting>
  <conditionalFormatting sqref="K236">
    <cfRule type="expression" dxfId="48" priority="49" stopIfTrue="1">
      <formula>XFD236=1</formula>
    </cfRule>
  </conditionalFormatting>
  <conditionalFormatting sqref="J236">
    <cfRule type="expression" dxfId="47" priority="48" stopIfTrue="1">
      <formula>XFD236=1</formula>
    </cfRule>
  </conditionalFormatting>
  <conditionalFormatting sqref="E236">
    <cfRule type="expression" dxfId="46" priority="43" stopIfTrue="1">
      <formula>XFD236=1</formula>
    </cfRule>
  </conditionalFormatting>
  <conditionalFormatting sqref="I236">
    <cfRule type="expression" dxfId="45" priority="44" stopIfTrue="1">
      <formula>XFD236=1</formula>
    </cfRule>
  </conditionalFormatting>
  <conditionalFormatting sqref="H236">
    <cfRule type="expression" dxfId="44" priority="45" stopIfTrue="1">
      <formula>XFD236=1</formula>
    </cfRule>
  </conditionalFormatting>
  <conditionalFormatting sqref="G236">
    <cfRule type="expression" dxfId="43" priority="46" stopIfTrue="1">
      <formula>XFD236=1</formula>
    </cfRule>
  </conditionalFormatting>
  <conditionalFormatting sqref="F236">
    <cfRule type="expression" dxfId="42" priority="47" stopIfTrue="1">
      <formula>XFD236=1</formula>
    </cfRule>
  </conditionalFormatting>
  <conditionalFormatting sqref="E237">
    <cfRule type="expression" dxfId="41" priority="38" stopIfTrue="1">
      <formula>XFD237=1</formula>
    </cfRule>
  </conditionalFormatting>
  <conditionalFormatting sqref="I237:P237">
    <cfRule type="expression" dxfId="40" priority="39" stopIfTrue="1">
      <formula>XFD237=1</formula>
    </cfRule>
  </conditionalFormatting>
  <conditionalFormatting sqref="H237">
    <cfRule type="expression" dxfId="39" priority="40" stopIfTrue="1">
      <formula>XFD237=1</formula>
    </cfRule>
  </conditionalFormatting>
  <conditionalFormatting sqref="G237">
    <cfRule type="expression" dxfId="38" priority="41" stopIfTrue="1">
      <formula>XFD237=1</formula>
    </cfRule>
  </conditionalFormatting>
  <conditionalFormatting sqref="F237">
    <cfRule type="expression" dxfId="37" priority="42" stopIfTrue="1">
      <formula>XFD237=1</formula>
    </cfRule>
  </conditionalFormatting>
  <conditionalFormatting sqref="O239:P239">
    <cfRule type="expression" dxfId="36" priority="37" stopIfTrue="1">
      <formula>A239=1</formula>
    </cfRule>
  </conditionalFormatting>
  <conditionalFormatting sqref="M239:M240">
    <cfRule type="expression" dxfId="35" priority="36" stopIfTrue="1">
      <formula>A239=1</formula>
    </cfRule>
  </conditionalFormatting>
  <conditionalFormatting sqref="E240 N240:O240">
    <cfRule type="expression" dxfId="34" priority="28" stopIfTrue="1">
      <formula>XFD240=1</formula>
    </cfRule>
  </conditionalFormatting>
  <conditionalFormatting sqref="L239:L240">
    <cfRule type="expression" dxfId="33" priority="29" stopIfTrue="1">
      <formula>XFD239=1</formula>
    </cfRule>
  </conditionalFormatting>
  <conditionalFormatting sqref="K240">
    <cfRule type="expression" dxfId="32" priority="30" stopIfTrue="1">
      <formula>XFD240=1</formula>
    </cfRule>
  </conditionalFormatting>
  <conditionalFormatting sqref="J240">
    <cfRule type="expression" dxfId="31" priority="31" stopIfTrue="1">
      <formula>XFD240=1</formula>
    </cfRule>
  </conditionalFormatting>
  <conditionalFormatting sqref="I240">
    <cfRule type="expression" dxfId="30" priority="32" stopIfTrue="1">
      <formula>XFD240=1</formula>
    </cfRule>
  </conditionalFormatting>
  <conditionalFormatting sqref="H240">
    <cfRule type="expression" dxfId="29" priority="33" stopIfTrue="1">
      <formula>XFD240=1</formula>
    </cfRule>
  </conditionalFormatting>
  <conditionalFormatting sqref="G240">
    <cfRule type="expression" dxfId="28" priority="34" stopIfTrue="1">
      <formula>XFD240=1</formula>
    </cfRule>
  </conditionalFormatting>
  <conditionalFormatting sqref="F240">
    <cfRule type="expression" dxfId="27" priority="35" stopIfTrue="1">
      <formula>XFD240=1</formula>
    </cfRule>
  </conditionalFormatting>
  <conditionalFormatting sqref="K239">
    <cfRule type="expression" dxfId="26" priority="27" stopIfTrue="1">
      <formula>XFD239=1</formula>
    </cfRule>
  </conditionalFormatting>
  <conditionalFormatting sqref="J239">
    <cfRule type="expression" dxfId="25" priority="26" stopIfTrue="1">
      <formula>XFD239=1</formula>
    </cfRule>
  </conditionalFormatting>
  <conditionalFormatting sqref="E238:E239 N238:N239 O238:P238">
    <cfRule type="expression" dxfId="24" priority="21" stopIfTrue="1">
      <formula>XFD238=1</formula>
    </cfRule>
  </conditionalFormatting>
  <conditionalFormatting sqref="I239">
    <cfRule type="expression" dxfId="23" priority="22" stopIfTrue="1">
      <formula>XFD239=1</formula>
    </cfRule>
  </conditionalFormatting>
  <conditionalFormatting sqref="H238:H239 I238:M238">
    <cfRule type="expression" dxfId="22" priority="23" stopIfTrue="1">
      <formula>XFD238=1</formula>
    </cfRule>
  </conditionalFormatting>
  <conditionalFormatting sqref="G238:G239">
    <cfRule type="expression" dxfId="21" priority="24" stopIfTrue="1">
      <formula>XFD238=1</formula>
    </cfRule>
  </conditionalFormatting>
  <conditionalFormatting sqref="F238:F239">
    <cfRule type="expression" dxfId="20" priority="25" stopIfTrue="1">
      <formula>XFD238=1</formula>
    </cfRule>
  </conditionalFormatting>
  <conditionalFormatting sqref="K241:M241">
    <cfRule type="expression" dxfId="19" priority="20" stopIfTrue="1">
      <formula>XFD241=1</formula>
    </cfRule>
  </conditionalFormatting>
  <conditionalFormatting sqref="J241">
    <cfRule type="expression" dxfId="18" priority="19" stopIfTrue="1">
      <formula>XFD241=1</formula>
    </cfRule>
  </conditionalFormatting>
  <conditionalFormatting sqref="E241:E242 F242:P242 N241:P241">
    <cfRule type="expression" dxfId="17" priority="14" stopIfTrue="1">
      <formula>XFD241=1</formula>
    </cfRule>
  </conditionalFormatting>
  <conditionalFormatting sqref="I241">
    <cfRule type="expression" dxfId="16" priority="15" stopIfTrue="1">
      <formula>XFD241=1</formula>
    </cfRule>
  </conditionalFormatting>
  <conditionalFormatting sqref="H241">
    <cfRule type="expression" dxfId="15" priority="16" stopIfTrue="1">
      <formula>XFD241=1</formula>
    </cfRule>
  </conditionalFormatting>
  <conditionalFormatting sqref="G241">
    <cfRule type="expression" dxfId="14" priority="17" stopIfTrue="1">
      <formula>XFD241=1</formula>
    </cfRule>
  </conditionalFormatting>
  <conditionalFormatting sqref="F241">
    <cfRule type="expression" dxfId="13" priority="18" stopIfTrue="1">
      <formula>XFD241=1</formula>
    </cfRule>
  </conditionalFormatting>
  <conditionalFormatting sqref="L244:M245">
    <cfRule type="expression" dxfId="12" priority="13" stopIfTrue="1">
      <formula>XFD244=1</formula>
    </cfRule>
  </conditionalFormatting>
  <conditionalFormatting sqref="K243:K245 L243:M243">
    <cfRule type="expression" dxfId="11" priority="12" stopIfTrue="1">
      <formula>XFD243=1</formula>
    </cfRule>
  </conditionalFormatting>
  <conditionalFormatting sqref="E244:E245 N244:P245">
    <cfRule type="expression" dxfId="10" priority="6" stopIfTrue="1">
      <formula>XFD244=1</formula>
    </cfRule>
  </conditionalFormatting>
  <conditionalFormatting sqref="J243">
    <cfRule type="expression" dxfId="9" priority="7" stopIfTrue="1">
      <formula>XFD243=1</formula>
    </cfRule>
  </conditionalFormatting>
  <conditionalFormatting sqref="I244:J245">
    <cfRule type="expression" dxfId="8" priority="8" stopIfTrue="1">
      <formula>XFD244=1</formula>
    </cfRule>
  </conditionalFormatting>
  <conditionalFormatting sqref="H244:H245">
    <cfRule type="expression" dxfId="7" priority="9" stopIfTrue="1">
      <formula>XFD244=1</formula>
    </cfRule>
  </conditionalFormatting>
  <conditionalFormatting sqref="G244:G245">
    <cfRule type="expression" dxfId="6" priority="10" stopIfTrue="1">
      <formula>XFD244=1</formula>
    </cfRule>
  </conditionalFormatting>
  <conditionalFormatting sqref="F244:F245">
    <cfRule type="expression" dxfId="5" priority="11" stopIfTrue="1">
      <formula>XFD244=1</formula>
    </cfRule>
  </conditionalFormatting>
  <conditionalFormatting sqref="E243 N243:P243">
    <cfRule type="expression" dxfId="4" priority="1" stopIfTrue="1">
      <formula>XFD243=1</formula>
    </cfRule>
  </conditionalFormatting>
  <conditionalFormatting sqref="I243">
    <cfRule type="expression" dxfId="3" priority="2" stopIfTrue="1">
      <formula>XFD243=1</formula>
    </cfRule>
  </conditionalFormatting>
  <conditionalFormatting sqref="H243">
    <cfRule type="expression" dxfId="2" priority="3" stopIfTrue="1">
      <formula>XFD243=1</formula>
    </cfRule>
  </conditionalFormatting>
  <conditionalFormatting sqref="G243">
    <cfRule type="expression" dxfId="1" priority="4" stopIfTrue="1">
      <formula>XFD243=1</formula>
    </cfRule>
  </conditionalFormatting>
  <conditionalFormatting sqref="F243">
    <cfRule type="expression" dxfId="0" priority="5" stopIfTrue="1">
      <formula>XFD243=1</formula>
    </cfRule>
  </conditionalFormatting>
  <pageMargins left="0.31496062992125984" right="0.31496062992125984" top="0.39370078740157483" bottom="0.39370078740157483" header="0" footer="0"/>
  <pageSetup paperSize="9" scale="51" fitToHeight="5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9" stopIfTrue="1" id="{1C1D3D6E-1746-40BF-AC86-416779A1CB18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B9:B38</xm:sqref>
        </x14:conditionalFormatting>
        <x14:conditionalFormatting xmlns:xm="http://schemas.microsoft.com/office/excel/2006/main">
          <x14:cfRule type="expression" priority="270" stopIfTrue="1" id="{6278CC65-377A-4E00-B877-982EC4604137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C9:C38</xm:sqref>
        </x14:conditionalFormatting>
        <x14:conditionalFormatting xmlns:xm="http://schemas.microsoft.com/office/excel/2006/main">
          <x14:cfRule type="expression" priority="260" stopIfTrue="1" id="{76921141-022E-440A-AC63-491D95027D47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O38 O9:O14 O16:O18 O21:O23 O28:O31 O25:O26 I15 H9:H33 I21:J21 I19:M19 I27:O27 E8:P8 P9 P26:P27 P11 P21</xm:sqref>
        </x14:conditionalFormatting>
        <x14:conditionalFormatting xmlns:xm="http://schemas.microsoft.com/office/excel/2006/main">
          <x14:cfRule type="expression" priority="261" stopIfTrue="1" id="{E75DEB5F-F346-4993-9A33-3489CB05353E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E38:N38 E9:E34 F34:I34 E35:I37</xm:sqref>
        </x14:conditionalFormatting>
        <x14:conditionalFormatting xmlns:xm="http://schemas.microsoft.com/office/excel/2006/main">
          <x14:cfRule type="expression" priority="262" stopIfTrue="1" id="{67CBEB94-965F-41A4-8DBC-1C9F2A1C462C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N9:N14 N16:N17 N21:N23 N26 N28:N37 O32:O37 N19:P19 P33:P37</xm:sqref>
        </x14:conditionalFormatting>
        <x14:conditionalFormatting xmlns:xm="http://schemas.microsoft.com/office/excel/2006/main">
          <x14:cfRule type="expression" priority="263" stopIfTrue="1" id="{767BF4B3-965F-42CF-A515-B0ED185C7AA2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M28:M37 N25 L9:M14 L21:M23 L16:M17 L25:M26 L28:L36</xm:sqref>
        </x14:conditionalFormatting>
        <x14:conditionalFormatting xmlns:xm="http://schemas.microsoft.com/office/excel/2006/main">
          <x14:cfRule type="expression" priority="264" stopIfTrue="1" id="{F0DD129C-7798-491A-BA19-1622E8403BA2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K9:K18 K21:K26 K29:K37 L37 L18:N18 L24:O24 L15:P15</xm:sqref>
        </x14:conditionalFormatting>
        <x14:conditionalFormatting xmlns:xm="http://schemas.microsoft.com/office/excel/2006/main">
          <x14:cfRule type="expression" priority="265" stopIfTrue="1" id="{43A7B284-FCBC-4BA2-AAC4-548850D7F3A6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J9:J17 J30 J22:J25 J28:K28 J32:J37</xm:sqref>
        </x14:conditionalFormatting>
        <x14:conditionalFormatting xmlns:xm="http://schemas.microsoft.com/office/excel/2006/main">
          <x14:cfRule type="expression" priority="266" stopIfTrue="1" id="{9EA43C29-EA61-4B06-93A9-E09CF0E5E7F6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I9:I14 I16:I18 I28:I33 J29 J26 J18 J31 I22:I26 I20:O20</xm:sqref>
        </x14:conditionalFormatting>
        <x14:conditionalFormatting xmlns:xm="http://schemas.microsoft.com/office/excel/2006/main">
          <x14:cfRule type="expression" priority="267" stopIfTrue="1" id="{118BD0AE-B7E1-4C04-A1CF-7A74AAC20FB3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G9:G33</xm:sqref>
        </x14:conditionalFormatting>
        <x14:conditionalFormatting xmlns:xm="http://schemas.microsoft.com/office/excel/2006/main">
          <x14:cfRule type="expression" priority="268" stopIfTrue="1" id="{DBB0D77A-82B5-4CE4-B8D9-A0F91FE8E02C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F9:F33</xm:sqref>
        </x14:conditionalFormatting>
        <x14:conditionalFormatting xmlns:xm="http://schemas.microsoft.com/office/excel/2006/main">
          <x14:cfRule type="expression" priority="258" stopIfTrue="1" id="{7B2A86E0-3716-44E5-B391-AE9B67BD84EC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B40:B41</xm:sqref>
        </x14:conditionalFormatting>
        <x14:conditionalFormatting xmlns:xm="http://schemas.microsoft.com/office/excel/2006/main">
          <x14:cfRule type="expression" priority="259" stopIfTrue="1" id="{89D6DEB9-35F1-4FE8-A56D-2983ABEB4194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C40:C41</xm:sqref>
        </x14:conditionalFormatting>
        <x14:conditionalFormatting xmlns:xm="http://schemas.microsoft.com/office/excel/2006/main">
          <x14:cfRule type="expression" priority="248" stopIfTrue="1" id="{6524C44C-B3CD-4C05-8196-DC339EEEF8FB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O40:O41</xm:sqref>
        </x14:conditionalFormatting>
        <x14:conditionalFormatting xmlns:xm="http://schemas.microsoft.com/office/excel/2006/main">
          <x14:cfRule type="expression" priority="249" stopIfTrue="1" id="{1C40D126-8CA5-49D0-975D-19785173BC39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H39:H41 I39:P39</xm:sqref>
        </x14:conditionalFormatting>
        <x14:conditionalFormatting xmlns:xm="http://schemas.microsoft.com/office/excel/2006/main">
          <x14:cfRule type="expression" priority="250" stopIfTrue="1" id="{543F9EBE-EF99-44CB-840F-AA18C31AD76B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E39:E41</xm:sqref>
        </x14:conditionalFormatting>
        <x14:conditionalFormatting xmlns:xm="http://schemas.microsoft.com/office/excel/2006/main">
          <x14:cfRule type="expression" priority="251" stopIfTrue="1" id="{F2C3E780-8682-440D-83AA-B48EB1E0EFAB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N40:N41</xm:sqref>
        </x14:conditionalFormatting>
        <x14:conditionalFormatting xmlns:xm="http://schemas.microsoft.com/office/excel/2006/main">
          <x14:cfRule type="expression" priority="252" stopIfTrue="1" id="{33005975-B37A-4DEA-8515-B4F0C8AEDD5C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L40:M41</xm:sqref>
        </x14:conditionalFormatting>
        <x14:conditionalFormatting xmlns:xm="http://schemas.microsoft.com/office/excel/2006/main">
          <x14:cfRule type="expression" priority="253" stopIfTrue="1" id="{05461152-C44D-4AB2-98CF-BA4466D0E301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K40:K41</xm:sqref>
        </x14:conditionalFormatting>
        <x14:conditionalFormatting xmlns:xm="http://schemas.microsoft.com/office/excel/2006/main">
          <x14:cfRule type="expression" priority="254" stopIfTrue="1" id="{DA8489A1-EF6F-4B27-A9FE-4A68990FE327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J40:J41</xm:sqref>
        </x14:conditionalFormatting>
        <x14:conditionalFormatting xmlns:xm="http://schemas.microsoft.com/office/excel/2006/main">
          <x14:cfRule type="expression" priority="255" stopIfTrue="1" id="{6EC064D8-40E7-4F6D-B356-DC6C28EFF002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I40:I41</xm:sqref>
        </x14:conditionalFormatting>
        <x14:conditionalFormatting xmlns:xm="http://schemas.microsoft.com/office/excel/2006/main">
          <x14:cfRule type="expression" priority="256" stopIfTrue="1" id="{4CE3BB9D-BDA0-4B6C-BE38-7DC5EE36C66A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G39:G41</xm:sqref>
        </x14:conditionalFormatting>
        <x14:conditionalFormatting xmlns:xm="http://schemas.microsoft.com/office/excel/2006/main">
          <x14:cfRule type="expression" priority="257" stopIfTrue="1" id="{5DED8141-A926-43A3-9268-8D9DFB10D873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F39:F41</xm:sqref>
        </x14:conditionalFormatting>
        <x14:conditionalFormatting xmlns:xm="http://schemas.microsoft.com/office/excel/2006/main">
          <x14:cfRule type="expression" priority="244" stopIfTrue="1" id="{B649F2A1-DC1B-4BF0-9072-A3136B6F2ACD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B43</xm:sqref>
        </x14:conditionalFormatting>
        <x14:conditionalFormatting xmlns:xm="http://schemas.microsoft.com/office/excel/2006/main">
          <x14:cfRule type="expression" priority="245" stopIfTrue="1" id="{F1DE7B3F-7D01-4524-AFD6-9B09D94F07EC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C43</xm:sqref>
        </x14:conditionalFormatting>
        <x14:conditionalFormatting xmlns:xm="http://schemas.microsoft.com/office/excel/2006/main">
          <x14:cfRule type="expression" priority="246" stopIfTrue="1" id="{1EA23A6C-49E0-43BF-9548-DEBEA645B5D3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B44:B75</xm:sqref>
        </x14:conditionalFormatting>
        <x14:conditionalFormatting xmlns:xm="http://schemas.microsoft.com/office/excel/2006/main">
          <x14:cfRule type="expression" priority="247" stopIfTrue="1" id="{25FD2EF8-2DC4-4209-ADC9-DC2AA9FEC1C4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C44:C75</xm:sqref>
        </x14:conditionalFormatting>
        <x14:conditionalFormatting xmlns:xm="http://schemas.microsoft.com/office/excel/2006/main">
          <x14:cfRule type="expression" priority="237" stopIfTrue="1" id="{1995242A-E828-489A-85C6-7385F2041889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H55:H56</xm:sqref>
        </x14:conditionalFormatting>
        <x14:conditionalFormatting xmlns:xm="http://schemas.microsoft.com/office/excel/2006/main">
          <x14:cfRule type="expression" priority="238" stopIfTrue="1" id="{AB6BD568-A34A-4BD4-9B45-11C613A4B471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F62:I64 E44:E64 E65:I75</xm:sqref>
        </x14:conditionalFormatting>
        <x14:conditionalFormatting xmlns:xm="http://schemas.microsoft.com/office/excel/2006/main">
          <x14:cfRule type="expression" priority="236" stopIfTrue="1" id="{0635FDE8-8161-43DB-92FC-4CAEBD54BC53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N53 N57</xm:sqref>
        </x14:conditionalFormatting>
        <x14:conditionalFormatting xmlns:xm="http://schemas.microsoft.com/office/excel/2006/main">
          <x14:cfRule type="expression" priority="235" stopIfTrue="1" id="{1709A183-A574-44D9-8E90-53A436A5B75A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N54:N56 M44:M75 N44:N52 N58:N75 O44:O75 L53 L64:L75 P44:P52 P54:P75</xm:sqref>
        </x14:conditionalFormatting>
        <x14:conditionalFormatting xmlns:xm="http://schemas.microsoft.com/office/excel/2006/main">
          <x14:cfRule type="expression" priority="234" stopIfTrue="1" id="{0F13A6B4-1B78-489B-9FC4-3C28895823A9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K53 K62:K65 L62:L63</xm:sqref>
        </x14:conditionalFormatting>
        <x14:conditionalFormatting xmlns:xm="http://schemas.microsoft.com/office/excel/2006/main">
          <x14:cfRule type="expression" priority="231" stopIfTrue="1" id="{C0646D0F-4E1B-44F8-B23B-08073BD601F1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I57:I61</xm:sqref>
        </x14:conditionalFormatting>
        <x14:conditionalFormatting xmlns:xm="http://schemas.microsoft.com/office/excel/2006/main">
          <x14:cfRule type="expression" priority="232" stopIfTrue="1" id="{6D34DB4E-D26F-4E5F-AAB8-4AD32D39836F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I55:I56 G44:I54 J44:J66 K66 J67:K75 K44:L52 K54:L61</xm:sqref>
        </x14:conditionalFormatting>
        <x14:conditionalFormatting xmlns:xm="http://schemas.microsoft.com/office/excel/2006/main">
          <x14:cfRule type="expression" priority="233" stopIfTrue="1" id="{A11ACC16-0D27-4581-9DAC-4F2C11D0D5F7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G55:G61 F44:F61 H57:H61</xm:sqref>
        </x14:conditionalFormatting>
        <x14:conditionalFormatting xmlns:xm="http://schemas.microsoft.com/office/excel/2006/main">
          <x14:cfRule type="expression" priority="239" stopIfTrue="1" id="{056FDF04-CAE1-4F9C-8515-FDF31DAF647E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H42:P42</xm:sqref>
        </x14:conditionalFormatting>
        <x14:conditionalFormatting xmlns:xm="http://schemas.microsoft.com/office/excel/2006/main">
          <x14:cfRule type="expression" priority="240" stopIfTrue="1" id="{4BF92959-095D-4330-B46A-589FEAD35B11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E42:E43</xm:sqref>
        </x14:conditionalFormatting>
        <x14:conditionalFormatting xmlns:xm="http://schemas.microsoft.com/office/excel/2006/main">
          <x14:cfRule type="expression" priority="241" stopIfTrue="1" id="{A16F7BF6-991E-4747-8139-03EF52AC8664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M43:P43</xm:sqref>
        </x14:conditionalFormatting>
        <x14:conditionalFormatting xmlns:xm="http://schemas.microsoft.com/office/excel/2006/main">
          <x14:cfRule type="expression" priority="242" stopIfTrue="1" id="{F92C51D0-0AF5-49B9-A7C2-7A4547CA3365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G42:G43 H43:L43</xm:sqref>
        </x14:conditionalFormatting>
        <x14:conditionalFormatting xmlns:xm="http://schemas.microsoft.com/office/excel/2006/main">
          <x14:cfRule type="expression" priority="243" stopIfTrue="1" id="{805D50B7-E6E5-4EF7-B39C-33CD14D92BAB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F42:F43</xm:sqref>
        </x14:conditionalFormatting>
        <x14:conditionalFormatting xmlns:xm="http://schemas.microsoft.com/office/excel/2006/main">
          <x14:cfRule type="expression" priority="229" stopIfTrue="1" id="{EBD482E7-0EF4-4273-B117-466D6BDF7350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B80</xm:sqref>
        </x14:conditionalFormatting>
        <x14:conditionalFormatting xmlns:xm="http://schemas.microsoft.com/office/excel/2006/main">
          <x14:cfRule type="expression" priority="230" stopIfTrue="1" id="{A21995CD-1A8F-4476-8384-9DDB9FE113D7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C80</xm:sqref>
        </x14:conditionalFormatting>
        <x14:conditionalFormatting xmlns:xm="http://schemas.microsoft.com/office/excel/2006/main">
          <x14:cfRule type="expression" priority="227" stopIfTrue="1" id="{DF727E17-1115-4B12-9C41-4FEF70D2A1DC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H79:H80 I79:P79</xm:sqref>
        </x14:conditionalFormatting>
        <x14:conditionalFormatting xmlns:xm="http://schemas.microsoft.com/office/excel/2006/main">
          <x14:cfRule type="expression" priority="228" stopIfTrue="1" id="{A9FBDD60-A22C-4008-AC0D-AAD6E0C798E0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E79:E80</xm:sqref>
        </x14:conditionalFormatting>
        <x14:conditionalFormatting xmlns:xm="http://schemas.microsoft.com/office/excel/2006/main">
          <x14:cfRule type="expression" priority="226" stopIfTrue="1" id="{200C8416-7978-47AE-A136-93141740AF76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N80:P80</xm:sqref>
        </x14:conditionalFormatting>
        <x14:conditionalFormatting xmlns:xm="http://schemas.microsoft.com/office/excel/2006/main">
          <x14:cfRule type="expression" priority="225" stopIfTrue="1" id="{0551BA18-7F44-42DD-B0DC-698E404D3A99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L80:M80</xm:sqref>
        </x14:conditionalFormatting>
        <x14:conditionalFormatting xmlns:xm="http://schemas.microsoft.com/office/excel/2006/main">
          <x14:cfRule type="expression" priority="222" stopIfTrue="1" id="{C028A295-A26D-47FB-936E-00FF57A7FF49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I80:K80</xm:sqref>
        </x14:conditionalFormatting>
        <x14:conditionalFormatting xmlns:xm="http://schemas.microsoft.com/office/excel/2006/main">
          <x14:cfRule type="expression" priority="223" stopIfTrue="1" id="{9562CB2F-983F-4DC0-A765-267899AC0865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G79:G80</xm:sqref>
        </x14:conditionalFormatting>
        <x14:conditionalFormatting xmlns:xm="http://schemas.microsoft.com/office/excel/2006/main">
          <x14:cfRule type="expression" priority="224" stopIfTrue="1" id="{190DCDE7-899A-4E7E-B065-9573CE32041A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F79:F80</xm:sqref>
        </x14:conditionalFormatting>
        <x14:conditionalFormatting xmlns:xm="http://schemas.microsoft.com/office/excel/2006/main">
          <x14:cfRule type="expression" priority="220" stopIfTrue="1" id="{DFC88BA1-D15F-4DAD-86E8-E337C87CA663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H81</xm:sqref>
        </x14:conditionalFormatting>
        <x14:conditionalFormatting xmlns:xm="http://schemas.microsoft.com/office/excel/2006/main">
          <x14:cfRule type="expression" priority="221" stopIfTrue="1" id="{6B587F8A-ED17-47D2-8AD2-58AAF9F39149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E81 O81:P81</xm:sqref>
        </x14:conditionalFormatting>
        <x14:conditionalFormatting xmlns:xm="http://schemas.microsoft.com/office/excel/2006/main">
          <x14:cfRule type="expression" priority="219" stopIfTrue="1" id="{1B66756E-A7AC-4D2B-A062-475AAE89F181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L81:N81</xm:sqref>
        </x14:conditionalFormatting>
        <x14:conditionalFormatting xmlns:xm="http://schemas.microsoft.com/office/excel/2006/main">
          <x14:cfRule type="expression" priority="218" stopIfTrue="1" id="{6F012851-913B-405C-8D04-3D95B36EEC78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J81:K81</xm:sqref>
        </x14:conditionalFormatting>
        <x14:conditionalFormatting xmlns:xm="http://schemas.microsoft.com/office/excel/2006/main">
          <x14:cfRule type="expression" priority="215" stopIfTrue="1" id="{64A92611-9EAE-41B2-A5BE-8248801C933F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I81</xm:sqref>
        </x14:conditionalFormatting>
        <x14:conditionalFormatting xmlns:xm="http://schemas.microsoft.com/office/excel/2006/main">
          <x14:cfRule type="expression" priority="216" stopIfTrue="1" id="{BE78C7CC-F874-4C36-84CA-76877D8137F8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G81</xm:sqref>
        </x14:conditionalFormatting>
        <x14:conditionalFormatting xmlns:xm="http://schemas.microsoft.com/office/excel/2006/main">
          <x14:cfRule type="expression" priority="217" stopIfTrue="1" id="{CD708BE7-CA59-420A-BBB0-2BDEB89FAEF8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F81</xm:sqref>
        </x14:conditionalFormatting>
        <x14:conditionalFormatting xmlns:xm="http://schemas.microsoft.com/office/excel/2006/main">
          <x14:cfRule type="expression" priority="213" stopIfTrue="1" id="{A6E17609-90AE-4E7A-9818-1FF54AB7A9BA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B83:B84</xm:sqref>
        </x14:conditionalFormatting>
        <x14:conditionalFormatting xmlns:xm="http://schemas.microsoft.com/office/excel/2006/main">
          <x14:cfRule type="expression" priority="214" stopIfTrue="1" id="{93178C9A-71CD-4F6C-BB31-1511DD8890A7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C83:C84</xm:sqref>
        </x14:conditionalFormatting>
        <x14:conditionalFormatting xmlns:xm="http://schemas.microsoft.com/office/excel/2006/main">
          <x14:cfRule type="expression" priority="210" stopIfTrue="1" id="{ABD9446F-7EC2-452A-97B1-4D411772D34D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O83:O84</xm:sqref>
        </x14:conditionalFormatting>
        <x14:conditionalFormatting xmlns:xm="http://schemas.microsoft.com/office/excel/2006/main">
          <x14:cfRule type="expression" priority="211" stopIfTrue="1" id="{8A96D9E3-BB71-4C61-B3E5-85D19BE5BC94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H82:H84 I82:P82</xm:sqref>
        </x14:conditionalFormatting>
        <x14:conditionalFormatting xmlns:xm="http://schemas.microsoft.com/office/excel/2006/main">
          <x14:cfRule type="expression" priority="212" stopIfTrue="1" id="{92DFE843-72DE-4FAB-9EFB-555C9C30E835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E82:E84</xm:sqref>
        </x14:conditionalFormatting>
        <x14:conditionalFormatting xmlns:xm="http://schemas.microsoft.com/office/excel/2006/main">
          <x14:cfRule type="expression" priority="209" stopIfTrue="1" id="{112395E7-C206-4A36-A001-97CFB3FBD2B4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N83:N84</xm:sqref>
        </x14:conditionalFormatting>
        <x14:conditionalFormatting xmlns:xm="http://schemas.microsoft.com/office/excel/2006/main">
          <x14:cfRule type="expression" priority="208" stopIfTrue="1" id="{3E5B7C04-800A-4C4C-99D4-368074C887A5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L83:M84</xm:sqref>
        </x14:conditionalFormatting>
        <x14:conditionalFormatting xmlns:xm="http://schemas.microsoft.com/office/excel/2006/main">
          <x14:cfRule type="expression" priority="207" stopIfTrue="1" id="{7C513297-300F-444D-863C-B9914F1E4A71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K83</xm:sqref>
        </x14:conditionalFormatting>
        <x14:conditionalFormatting xmlns:xm="http://schemas.microsoft.com/office/excel/2006/main">
          <x14:cfRule type="expression" priority="204" stopIfTrue="1" id="{5EB8E8AC-7DB5-4854-916B-F134C2FAF838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I83:J84 K84</xm:sqref>
        </x14:conditionalFormatting>
        <x14:conditionalFormatting xmlns:xm="http://schemas.microsoft.com/office/excel/2006/main">
          <x14:cfRule type="expression" priority="205" stopIfTrue="1" id="{54E4E038-0592-4904-B143-A8C7B79AEECF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G82:G84</xm:sqref>
        </x14:conditionalFormatting>
        <x14:conditionalFormatting xmlns:xm="http://schemas.microsoft.com/office/excel/2006/main">
          <x14:cfRule type="expression" priority="206" stopIfTrue="1" id="{34555DBA-700F-4B18-80E5-A613B65F6D67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F82:F84</xm:sqref>
        </x14:conditionalFormatting>
        <x14:conditionalFormatting xmlns:xm="http://schemas.microsoft.com/office/excel/2006/main">
          <x14:cfRule type="expression" priority="202" stopIfTrue="1" id="{FAAB6E10-15BD-4CDB-81FB-AA18A049962A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B86:B93</xm:sqref>
        </x14:conditionalFormatting>
        <x14:conditionalFormatting xmlns:xm="http://schemas.microsoft.com/office/excel/2006/main">
          <x14:cfRule type="expression" priority="203" stopIfTrue="1" id="{5ED48F0A-0C3D-4775-B1DF-4E3D5853B730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C86:C93</xm:sqref>
        </x14:conditionalFormatting>
        <x14:conditionalFormatting xmlns:xm="http://schemas.microsoft.com/office/excel/2006/main">
          <x14:cfRule type="expression" priority="199" stopIfTrue="1" id="{C507BA67-B75F-429D-83E3-C0022DCB920B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O86:O93</xm:sqref>
        </x14:conditionalFormatting>
        <x14:conditionalFormatting xmlns:xm="http://schemas.microsoft.com/office/excel/2006/main">
          <x14:cfRule type="expression" priority="200" stopIfTrue="1" id="{87FE4C92-3199-4F2C-8CAC-81CF75619AFB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H86:H91</xm:sqref>
        </x14:conditionalFormatting>
        <x14:conditionalFormatting xmlns:xm="http://schemas.microsoft.com/office/excel/2006/main">
          <x14:cfRule type="expression" priority="201" stopIfTrue="1" id="{9D028EB9-58D1-4258-9E22-BE3310C8657C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E92:L92 E93:N93 E85:E91 F85:P85</xm:sqref>
        </x14:conditionalFormatting>
        <x14:conditionalFormatting xmlns:xm="http://schemas.microsoft.com/office/excel/2006/main">
          <x14:cfRule type="expression" priority="198" stopIfTrue="1" id="{E9B398F1-77A6-42A8-A4FF-C076AA0C0679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N86:N92</xm:sqref>
        </x14:conditionalFormatting>
        <x14:conditionalFormatting xmlns:xm="http://schemas.microsoft.com/office/excel/2006/main">
          <x14:cfRule type="expression" priority="197" stopIfTrue="1" id="{C98108E3-F501-496A-AB22-4E81DF202AC1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M86:M92 L86:L91</xm:sqref>
        </x14:conditionalFormatting>
        <x14:conditionalFormatting xmlns:xm="http://schemas.microsoft.com/office/excel/2006/main">
          <x14:cfRule type="expression" priority="196" stopIfTrue="1" id="{FEA45EA4-2054-4F9D-9723-3266FC49C474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K86:K91</xm:sqref>
        </x14:conditionalFormatting>
        <x14:conditionalFormatting xmlns:xm="http://schemas.microsoft.com/office/excel/2006/main">
          <x14:cfRule type="expression" priority="195" stopIfTrue="1" id="{3D468714-C054-440F-8225-0CDE6B80266F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J86:J91</xm:sqref>
        </x14:conditionalFormatting>
        <x14:conditionalFormatting xmlns:xm="http://schemas.microsoft.com/office/excel/2006/main">
          <x14:cfRule type="expression" priority="192" stopIfTrue="1" id="{CB801C41-28B0-47CB-BFAC-A72734AFCF4B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I86:I91</xm:sqref>
        </x14:conditionalFormatting>
        <x14:conditionalFormatting xmlns:xm="http://schemas.microsoft.com/office/excel/2006/main">
          <x14:cfRule type="expression" priority="193" stopIfTrue="1" id="{20FF8142-66CF-4EF5-8816-B81773B97F9B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G86:G91</xm:sqref>
        </x14:conditionalFormatting>
        <x14:conditionalFormatting xmlns:xm="http://schemas.microsoft.com/office/excel/2006/main">
          <x14:cfRule type="expression" priority="194" stopIfTrue="1" id="{EDB3D478-6822-46A1-87D3-232830A3E07B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F86:F91</xm:sqref>
        </x14:conditionalFormatting>
        <x14:conditionalFormatting xmlns:xm="http://schemas.microsoft.com/office/excel/2006/main">
          <x14:cfRule type="expression" priority="190" stopIfTrue="1" id="{80817349-967B-4430-8E48-3F322C1D72E7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H94 K94</xm:sqref>
        </x14:conditionalFormatting>
        <x14:conditionalFormatting xmlns:xm="http://schemas.microsoft.com/office/excel/2006/main">
          <x14:cfRule type="expression" priority="191" stopIfTrue="1" id="{891B3925-5227-451E-98D2-C94C3E3C8685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E94</xm:sqref>
        </x14:conditionalFormatting>
        <x14:conditionalFormatting xmlns:xm="http://schemas.microsoft.com/office/excel/2006/main">
          <x14:cfRule type="expression" priority="189" stopIfTrue="1" id="{AA3085D9-1C34-48E9-8E94-C8FC60530361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L94:P94</xm:sqref>
        </x14:conditionalFormatting>
        <x14:conditionalFormatting xmlns:xm="http://schemas.microsoft.com/office/excel/2006/main">
          <x14:cfRule type="expression" priority="186" stopIfTrue="1" id="{19CBD5C7-C76C-425B-BF82-6A1A71347E5D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I94:J94</xm:sqref>
        </x14:conditionalFormatting>
        <x14:conditionalFormatting xmlns:xm="http://schemas.microsoft.com/office/excel/2006/main">
          <x14:cfRule type="expression" priority="187" stopIfTrue="1" id="{76BFD093-B6A8-4164-9467-0F5B1A7CA10F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G94</xm:sqref>
        </x14:conditionalFormatting>
        <x14:conditionalFormatting xmlns:xm="http://schemas.microsoft.com/office/excel/2006/main">
          <x14:cfRule type="expression" priority="188" stopIfTrue="1" id="{EAA2E9FF-7B97-4A57-9F50-BA9F8A395D2A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F94</xm:sqref>
        </x14:conditionalFormatting>
        <x14:conditionalFormatting xmlns:xm="http://schemas.microsoft.com/office/excel/2006/main">
          <x14:cfRule type="expression" priority="184" stopIfTrue="1" id="{6E76C14F-253E-4331-94D1-F7650BCAE045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H95:I95</xm:sqref>
        </x14:conditionalFormatting>
        <x14:conditionalFormatting xmlns:xm="http://schemas.microsoft.com/office/excel/2006/main">
          <x14:cfRule type="expression" priority="185" stopIfTrue="1" id="{33A301D5-6A83-4407-9731-C3553383EFBE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E95</xm:sqref>
        </x14:conditionalFormatting>
        <x14:conditionalFormatting xmlns:xm="http://schemas.microsoft.com/office/excel/2006/main">
          <x14:cfRule type="expression" priority="183" stopIfTrue="1" id="{9F2B8E6F-0075-4978-8F4E-306C1041EFF0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L95:P95</xm:sqref>
        </x14:conditionalFormatting>
        <x14:conditionalFormatting xmlns:xm="http://schemas.microsoft.com/office/excel/2006/main">
          <x14:cfRule type="expression" priority="182" stopIfTrue="1" id="{417CBD07-91A5-4555-A7C7-2E28CE1E5AA2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J95:K95</xm:sqref>
        </x14:conditionalFormatting>
        <x14:conditionalFormatting xmlns:xm="http://schemas.microsoft.com/office/excel/2006/main">
          <x14:cfRule type="expression" priority="180" stopIfTrue="1" id="{61673130-2D0A-4E76-8240-26FB25B8FE09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G95</xm:sqref>
        </x14:conditionalFormatting>
        <x14:conditionalFormatting xmlns:xm="http://schemas.microsoft.com/office/excel/2006/main">
          <x14:cfRule type="expression" priority="181" stopIfTrue="1" id="{2B647BCA-FDD6-4C33-8CBD-A8EE663F241D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F95</xm:sqref>
        </x14:conditionalFormatting>
        <x14:conditionalFormatting xmlns:xm="http://schemas.microsoft.com/office/excel/2006/main">
          <x14:cfRule type="expression" priority="178" stopIfTrue="1" id="{27B323C4-4D91-45A8-9B3A-A3F124CCD5FA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H96:K96</xm:sqref>
        </x14:conditionalFormatting>
        <x14:conditionalFormatting xmlns:xm="http://schemas.microsoft.com/office/excel/2006/main">
          <x14:cfRule type="expression" priority="179" stopIfTrue="1" id="{21F44AA4-4812-4D36-93FC-B5C81C4212FA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E96</xm:sqref>
        </x14:conditionalFormatting>
        <x14:conditionalFormatting xmlns:xm="http://schemas.microsoft.com/office/excel/2006/main">
          <x14:cfRule type="expression" priority="177" stopIfTrue="1" id="{04C79FB8-87BC-4BCD-B28B-7C4CC5148A76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L96:P96</xm:sqref>
        </x14:conditionalFormatting>
        <x14:conditionalFormatting xmlns:xm="http://schemas.microsoft.com/office/excel/2006/main">
          <x14:cfRule type="expression" priority="175" stopIfTrue="1" id="{C3D9907F-9EEB-4F59-A261-345456D9EA6A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G96</xm:sqref>
        </x14:conditionalFormatting>
        <x14:conditionalFormatting xmlns:xm="http://schemas.microsoft.com/office/excel/2006/main">
          <x14:cfRule type="expression" priority="176" stopIfTrue="1" id="{2CDDD396-DD6C-4B13-9C5B-B9EAE6BDF0EA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F96</xm:sqref>
        </x14:conditionalFormatting>
        <x14:conditionalFormatting xmlns:xm="http://schemas.microsoft.com/office/excel/2006/main">
          <x14:cfRule type="expression" priority="173" stopIfTrue="1" id="{08F6CD79-091A-4DA7-82E0-C12A8DADBB5A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B98:B102</xm:sqref>
        </x14:conditionalFormatting>
        <x14:conditionalFormatting xmlns:xm="http://schemas.microsoft.com/office/excel/2006/main">
          <x14:cfRule type="expression" priority="174" stopIfTrue="1" id="{1F74BD77-15DA-42D5-845B-46AAE4006109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C98:C102</xm:sqref>
        </x14:conditionalFormatting>
        <x14:conditionalFormatting xmlns:xm="http://schemas.microsoft.com/office/excel/2006/main">
          <x14:cfRule type="expression" priority="170" stopIfTrue="1" id="{62F270D7-5446-4691-8368-4449ABCA9BE7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O98:O102</xm:sqref>
        </x14:conditionalFormatting>
        <x14:conditionalFormatting xmlns:xm="http://schemas.microsoft.com/office/excel/2006/main">
          <x14:cfRule type="expression" priority="171" stopIfTrue="1" id="{D41C0896-4409-4774-B4B0-7E9577343004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H97:H101 K98:K100 I97:P97</xm:sqref>
        </x14:conditionalFormatting>
        <x14:conditionalFormatting xmlns:xm="http://schemas.microsoft.com/office/excel/2006/main">
          <x14:cfRule type="expression" priority="172" stopIfTrue="1" id="{5C9CF8E6-69B1-4903-8E79-139DAA2836A1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F102:M102 E97:E102</xm:sqref>
        </x14:conditionalFormatting>
        <x14:conditionalFormatting xmlns:xm="http://schemas.microsoft.com/office/excel/2006/main">
          <x14:cfRule type="expression" priority="169" stopIfTrue="1" id="{BF5AC69B-7E10-4D8E-9F57-D2AC86AA45EE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N98:N102</xm:sqref>
        </x14:conditionalFormatting>
        <x14:conditionalFormatting xmlns:xm="http://schemas.microsoft.com/office/excel/2006/main">
          <x14:cfRule type="expression" priority="168" stopIfTrue="1" id="{A91C3110-667C-424C-8DE8-5CE0C0A5E613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L98:M101</xm:sqref>
        </x14:conditionalFormatting>
        <x14:conditionalFormatting xmlns:xm="http://schemas.microsoft.com/office/excel/2006/main">
          <x14:cfRule type="expression" priority="167" stopIfTrue="1" id="{A6C938F3-DF64-43BB-9B03-D10840951F35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K101</xm:sqref>
        </x14:conditionalFormatting>
        <x14:conditionalFormatting xmlns:xm="http://schemas.microsoft.com/office/excel/2006/main">
          <x14:cfRule type="expression" priority="164" stopIfTrue="1" id="{DAD5F108-E5D0-4602-AD32-9DA7FD8FDB7F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I98:J101</xm:sqref>
        </x14:conditionalFormatting>
        <x14:conditionalFormatting xmlns:xm="http://schemas.microsoft.com/office/excel/2006/main">
          <x14:cfRule type="expression" priority="165" stopIfTrue="1" id="{F60BC954-35E4-4EF0-A893-607F9E1D3420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G97:G101</xm:sqref>
        </x14:conditionalFormatting>
        <x14:conditionalFormatting xmlns:xm="http://schemas.microsoft.com/office/excel/2006/main">
          <x14:cfRule type="expression" priority="166" stopIfTrue="1" id="{DC1063A7-DAB5-4576-B412-73691BE32F56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F97:F101</xm:sqref>
        </x14:conditionalFormatting>
        <x14:conditionalFormatting xmlns:xm="http://schemas.microsoft.com/office/excel/2006/main">
          <x14:cfRule type="expression" priority="162" stopIfTrue="1" id="{172D057D-9DB0-4DA5-9238-971FA536F797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B104:B111</xm:sqref>
        </x14:conditionalFormatting>
        <x14:conditionalFormatting xmlns:xm="http://schemas.microsoft.com/office/excel/2006/main">
          <x14:cfRule type="expression" priority="163" stopIfTrue="1" id="{C6933912-7767-473E-A351-29FE54684AC0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C104:C111</xm:sqref>
        </x14:conditionalFormatting>
        <x14:conditionalFormatting xmlns:xm="http://schemas.microsoft.com/office/excel/2006/main">
          <x14:cfRule type="expression" priority="159" stopIfTrue="1" id="{E5A0E5E2-7E36-4DEF-B237-7BEE14E85476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O106</xm:sqref>
        </x14:conditionalFormatting>
        <x14:conditionalFormatting xmlns:xm="http://schemas.microsoft.com/office/excel/2006/main">
          <x14:cfRule type="expression" priority="160" stopIfTrue="1" id="{A0E7F9BB-D4E9-44EC-862C-21A9E1080F4D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H103:K107 H111:P111 L103:P105 L107:P107</xm:sqref>
        </x14:conditionalFormatting>
        <x14:conditionalFormatting xmlns:xm="http://schemas.microsoft.com/office/excel/2006/main">
          <x14:cfRule type="expression" priority="161" stopIfTrue="1" id="{3D3E6F13-9554-4965-859D-391B822C4B2C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E103:E111</xm:sqref>
        </x14:conditionalFormatting>
        <x14:conditionalFormatting xmlns:xm="http://schemas.microsoft.com/office/excel/2006/main">
          <x14:cfRule type="expression" priority="158" stopIfTrue="1" id="{27D26874-26C1-4CB0-A2A7-F5338B8A4593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N106 N108:P110</xm:sqref>
        </x14:conditionalFormatting>
        <x14:conditionalFormatting xmlns:xm="http://schemas.microsoft.com/office/excel/2006/main">
          <x14:cfRule type="expression" priority="157" stopIfTrue="1" id="{C1C12F5D-3240-430C-AEE8-020D7FA06323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M108:M110 L106:M106</xm:sqref>
        </x14:conditionalFormatting>
        <x14:conditionalFormatting xmlns:xm="http://schemas.microsoft.com/office/excel/2006/main">
          <x14:cfRule type="expression" priority="155" stopIfTrue="1" id="{32F0E937-381D-4F3B-B2E0-57DA3FBD1D0B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H108:L110 G103:G111</xm:sqref>
        </x14:conditionalFormatting>
        <x14:conditionalFormatting xmlns:xm="http://schemas.microsoft.com/office/excel/2006/main">
          <x14:cfRule type="expression" priority="156" stopIfTrue="1" id="{AA0D4F68-0A7B-42EB-ACFB-FAF88F775C09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F103:F111</xm:sqref>
        </x14:conditionalFormatting>
        <x14:conditionalFormatting xmlns:xm="http://schemas.microsoft.com/office/excel/2006/main">
          <x14:cfRule type="expression" priority="153" stopIfTrue="1" id="{1C2705E0-F27A-4709-A9DA-A01F73587DB8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B113:B122</xm:sqref>
        </x14:conditionalFormatting>
        <x14:conditionalFormatting xmlns:xm="http://schemas.microsoft.com/office/excel/2006/main">
          <x14:cfRule type="expression" priority="154" stopIfTrue="1" id="{09A952F6-D200-4D2C-9EBE-01186CA9225B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C113:C122</xm:sqref>
        </x14:conditionalFormatting>
        <x14:conditionalFormatting xmlns:xm="http://schemas.microsoft.com/office/excel/2006/main">
          <x14:cfRule type="expression" priority="150" stopIfTrue="1" id="{E7BC9BFE-27CE-4EE3-9DAE-D9D1996C72C8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O114:O115 O121:O122 P115</xm:sqref>
        </x14:conditionalFormatting>
        <x14:conditionalFormatting xmlns:xm="http://schemas.microsoft.com/office/excel/2006/main">
          <x14:cfRule type="expression" priority="151" stopIfTrue="1" id="{452307A1-CE83-4F3E-B1E1-E2BA4CE221F1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I115:K121 L115:M120 N116:O120 H114:H123 H112:P112 P116 P118:P119</xm:sqref>
        </x14:conditionalFormatting>
        <x14:conditionalFormatting xmlns:xm="http://schemas.microsoft.com/office/excel/2006/main">
          <x14:cfRule type="expression" priority="152" stopIfTrue="1" id="{3AC5A551-13DD-43ED-8CE9-DC49D4E940D6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E112:E123</xm:sqref>
        </x14:conditionalFormatting>
        <x14:conditionalFormatting xmlns:xm="http://schemas.microsoft.com/office/excel/2006/main">
          <x14:cfRule type="expression" priority="149" stopIfTrue="1" id="{9B3C2DB8-3C31-48B1-BF64-DC56AEECBE62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N115 N121:N122 N113:P113</xm:sqref>
        </x14:conditionalFormatting>
        <x14:conditionalFormatting xmlns:xm="http://schemas.microsoft.com/office/excel/2006/main">
          <x14:cfRule type="expression" priority="148" stopIfTrue="1" id="{90966CA5-BA36-4A89-81AA-4AFDBF5FF168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L113:M113 L121:M122 L123:P123</xm:sqref>
        </x14:conditionalFormatting>
        <x14:conditionalFormatting xmlns:xm="http://schemas.microsoft.com/office/excel/2006/main">
          <x14:cfRule type="expression" priority="147" stopIfTrue="1" id="{DE081919-1216-483C-99A8-6D598F30BD55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K113 K122</xm:sqref>
        </x14:conditionalFormatting>
        <x14:conditionalFormatting xmlns:xm="http://schemas.microsoft.com/office/excel/2006/main">
          <x14:cfRule type="expression" priority="146" stopIfTrue="1" id="{876FA330-0F07-4BA0-984C-8C2174F9AB6C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J123:K123</xm:sqref>
        </x14:conditionalFormatting>
        <x14:conditionalFormatting xmlns:xm="http://schemas.microsoft.com/office/excel/2006/main">
          <x14:cfRule type="expression" priority="143" stopIfTrue="1" id="{6E85935B-9104-4A71-802F-A3411259893A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I122:J122 I114:N114 I123</xm:sqref>
        </x14:conditionalFormatting>
        <x14:conditionalFormatting xmlns:xm="http://schemas.microsoft.com/office/excel/2006/main">
          <x14:cfRule type="expression" priority="144" stopIfTrue="1" id="{1C2B0117-0FB9-456C-BEA5-9557F192F793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G112 G114:G123</xm:sqref>
        </x14:conditionalFormatting>
        <x14:conditionalFormatting xmlns:xm="http://schemas.microsoft.com/office/excel/2006/main">
          <x14:cfRule type="expression" priority="145" stopIfTrue="1" id="{81182F24-7772-41AC-B57B-DF2937583A2B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G113:J113 F112:F123</xm:sqref>
        </x14:conditionalFormatting>
        <x14:conditionalFormatting xmlns:xm="http://schemas.microsoft.com/office/excel/2006/main">
          <x14:cfRule type="expression" priority="130" stopIfTrue="1" id="{1F5351EB-10DB-4D82-B002-3D94AFF343B4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J129:K131 I129:I148</xm:sqref>
        </x14:conditionalFormatting>
        <x14:conditionalFormatting xmlns:xm="http://schemas.microsoft.com/office/excel/2006/main">
          <x14:cfRule type="expression" priority="141" stopIfTrue="1" id="{3B712122-F9AD-43A1-96D1-D5EDA638EA58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B125:B149</xm:sqref>
        </x14:conditionalFormatting>
        <x14:conditionalFormatting xmlns:xm="http://schemas.microsoft.com/office/excel/2006/main">
          <x14:cfRule type="expression" priority="142" stopIfTrue="1" id="{62C82A46-0F5D-4FAB-8CD9-9E1E0284923C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C125:C149</xm:sqref>
        </x14:conditionalFormatting>
        <x14:conditionalFormatting xmlns:xm="http://schemas.microsoft.com/office/excel/2006/main">
          <x14:cfRule type="expression" priority="137" stopIfTrue="1" id="{28C0AED4-878E-4839-B87F-81CF5E4DE741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O125 O129:O149 O127:P127 P129:P142 P144:P148</xm:sqref>
        </x14:conditionalFormatting>
        <x14:conditionalFormatting xmlns:xm="http://schemas.microsoft.com/office/excel/2006/main">
          <x14:cfRule type="expression" priority="138" stopIfTrue="1" id="{73F5F728-691B-4D85-95E1-CE095805D253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H128:H148 I128:P128 H126:P126</xm:sqref>
        </x14:conditionalFormatting>
        <x14:conditionalFormatting xmlns:xm="http://schemas.microsoft.com/office/excel/2006/main">
          <x14:cfRule type="expression" priority="139" stopIfTrue="1" id="{9B672844-3A09-45B4-9D30-FC3C02A0017A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E124:E148 F124:P124</xm:sqref>
        </x14:conditionalFormatting>
        <x14:conditionalFormatting xmlns:xm="http://schemas.microsoft.com/office/excel/2006/main">
          <x14:cfRule type="expression" priority="136" stopIfTrue="1" id="{EFDD3EAA-4A06-46D9-8057-5CD66E407C6A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N125 N127 N148</xm:sqref>
        </x14:conditionalFormatting>
        <x14:conditionalFormatting xmlns:xm="http://schemas.microsoft.com/office/excel/2006/main">
          <x14:cfRule type="expression" priority="135" stopIfTrue="1" id="{000ED007-4B05-4A24-9744-5013A5A6BA10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M144:M148 L125:M125 L127:M127 L129:L148 M129:N143 N144:N147</xm:sqref>
        </x14:conditionalFormatting>
        <x14:conditionalFormatting xmlns:xm="http://schemas.microsoft.com/office/excel/2006/main">
          <x14:cfRule type="expression" priority="134" stopIfTrue="1" id="{397F616F-D6D7-4622-9166-C0DE80FD0ED5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K125 K127 K133:K148</xm:sqref>
        </x14:conditionalFormatting>
        <x14:conditionalFormatting xmlns:xm="http://schemas.microsoft.com/office/excel/2006/main">
          <x14:cfRule type="expression" priority="133" stopIfTrue="1" id="{AA8A9E78-C770-4DE1-9F10-E46CA03C3EC9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J125 J127 K132 J132:J148</xm:sqref>
        </x14:conditionalFormatting>
        <x14:conditionalFormatting xmlns:xm="http://schemas.microsoft.com/office/excel/2006/main">
          <x14:cfRule type="expression" priority="131" stopIfTrue="1" id="{D0F33093-9792-44A2-8683-40E3EA8615AE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G126 G128:G148</xm:sqref>
        </x14:conditionalFormatting>
        <x14:conditionalFormatting xmlns:xm="http://schemas.microsoft.com/office/excel/2006/main">
          <x14:cfRule type="expression" priority="132" stopIfTrue="1" id="{A9776935-4B71-4A64-91C7-0033E8DF88D5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G125:I125 G127:I127 F125:F148</xm:sqref>
        </x14:conditionalFormatting>
        <x14:conditionalFormatting xmlns:xm="http://schemas.microsoft.com/office/excel/2006/main">
          <x14:cfRule type="expression" priority="140" stopIfTrue="1" id="{41F3D831-BE36-46EE-8ACD-D52B934754AE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E149:N149</xm:sqref>
        </x14:conditionalFormatting>
        <x14:conditionalFormatting xmlns:xm="http://schemas.microsoft.com/office/excel/2006/main">
          <x14:cfRule type="expression" priority="128" stopIfTrue="1" id="{C0076295-C506-4D3B-AF8D-9BB944D2A83C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B152</xm:sqref>
        </x14:conditionalFormatting>
        <x14:conditionalFormatting xmlns:xm="http://schemas.microsoft.com/office/excel/2006/main">
          <x14:cfRule type="expression" priority="129" stopIfTrue="1" id="{8A7E358B-4C8C-4204-9A0B-F59F6723B997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C152</xm:sqref>
        </x14:conditionalFormatting>
        <x14:conditionalFormatting xmlns:xm="http://schemas.microsoft.com/office/excel/2006/main">
          <x14:cfRule type="expression" priority="126" stopIfTrue="1" id="{A8AF797A-D348-4B5B-8E62-B3F361C4BFCE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H151:H152 I151:P151</xm:sqref>
        </x14:conditionalFormatting>
        <x14:conditionalFormatting xmlns:xm="http://schemas.microsoft.com/office/excel/2006/main">
          <x14:cfRule type="expression" priority="127" stopIfTrue="1" id="{514A8817-842F-45D9-9FE2-9F62D591D202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E151:E153 F153:O153</xm:sqref>
        </x14:conditionalFormatting>
        <x14:conditionalFormatting xmlns:xm="http://schemas.microsoft.com/office/excel/2006/main">
          <x14:cfRule type="expression" priority="125" stopIfTrue="1" id="{087001B9-9C18-4006-A47F-96DB90443EF4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N152:P152</xm:sqref>
        </x14:conditionalFormatting>
        <x14:conditionalFormatting xmlns:xm="http://schemas.microsoft.com/office/excel/2006/main">
          <x14:cfRule type="expression" priority="124" stopIfTrue="1" id="{C9306ADB-EC49-40BA-9C65-5DB9CC5D3378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L152:M152</xm:sqref>
        </x14:conditionalFormatting>
        <x14:conditionalFormatting xmlns:xm="http://schemas.microsoft.com/office/excel/2006/main">
          <x14:cfRule type="expression" priority="123" stopIfTrue="1" id="{CEBF5DC5-75D6-4E2B-883B-46594CE356E6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J152:K152</xm:sqref>
        </x14:conditionalFormatting>
        <x14:conditionalFormatting xmlns:xm="http://schemas.microsoft.com/office/excel/2006/main">
          <x14:cfRule type="expression" priority="120" stopIfTrue="1" id="{5962FD28-F0BD-435A-B55E-7F0325201F83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I152</xm:sqref>
        </x14:conditionalFormatting>
        <x14:conditionalFormatting xmlns:xm="http://schemas.microsoft.com/office/excel/2006/main">
          <x14:cfRule type="expression" priority="121" stopIfTrue="1" id="{9222A292-FC36-49A0-AF82-471DB9F46661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G151:G152</xm:sqref>
        </x14:conditionalFormatting>
        <x14:conditionalFormatting xmlns:xm="http://schemas.microsoft.com/office/excel/2006/main">
          <x14:cfRule type="expression" priority="122" stopIfTrue="1" id="{A2182494-DDB5-4439-85D7-B60DE3D6FDE1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F151:F152</xm:sqref>
        </x14:conditionalFormatting>
        <x14:conditionalFormatting xmlns:xm="http://schemas.microsoft.com/office/excel/2006/main">
          <x14:cfRule type="expression" priority="118" stopIfTrue="1" id="{E52D0DD3-4131-4173-88D0-374BBE899E72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B153</xm:sqref>
        </x14:conditionalFormatting>
        <x14:conditionalFormatting xmlns:xm="http://schemas.microsoft.com/office/excel/2006/main">
          <x14:cfRule type="expression" priority="119" stopIfTrue="1" id="{5F24EFE0-A24E-4C77-8B21-869486ED27E2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C153</xm:sqref>
        </x14:conditionalFormatting>
        <x14:conditionalFormatting xmlns:xm="http://schemas.microsoft.com/office/excel/2006/main">
          <x14:cfRule type="expression" priority="116" stopIfTrue="1" id="{DCA91583-1C9A-486E-857D-48729EB20357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B155:B222</xm:sqref>
        </x14:conditionalFormatting>
        <x14:conditionalFormatting xmlns:xm="http://schemas.microsoft.com/office/excel/2006/main">
          <x14:cfRule type="expression" priority="117" stopIfTrue="1" id="{63A2C670-26D9-4128-99A5-2E9C1DD332D1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C155:C222</xm:sqref>
        </x14:conditionalFormatting>
        <x14:conditionalFormatting xmlns:xm="http://schemas.microsoft.com/office/excel/2006/main">
          <x14:cfRule type="expression" priority="113" stopIfTrue="1" id="{00B3D52A-5CA9-40AB-AC12-6EF7AAFDFEF9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O178:O179 O176 O163 O197:O200 O160 O192 O218 O194:O195 O213 O211 O215:O216 O168:O169 O183:O190 O181 O220:O221 P197 P220 P195 P215 O203:P207</xm:sqref>
        </x14:conditionalFormatting>
        <x14:conditionalFormatting xmlns:xm="http://schemas.microsoft.com/office/excel/2006/main">
          <x14:cfRule type="expression" priority="114" stopIfTrue="1" id="{6D85157C-3D93-4B97-84F9-6E642A2B2F1B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H154:H159 H161:H182 H184:H186 H191:H196 I156:K156 I154:P154</xm:sqref>
        </x14:conditionalFormatting>
        <x14:conditionalFormatting xmlns:xm="http://schemas.microsoft.com/office/excel/2006/main">
          <x14:cfRule type="expression" priority="115" stopIfTrue="1" id="{475CF3BC-3B89-4E9E-A699-8E6C8B063D06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E154:E197 F197:I197 E198:I206 J206 K213:L213 E214:L218 E207:J213 E219:P219 M217:P217 E220:L222</xm:sqref>
        </x14:conditionalFormatting>
        <x14:conditionalFormatting xmlns:xm="http://schemas.microsoft.com/office/excel/2006/main">
          <x14:cfRule type="expression" priority="112" stopIfTrue="1" id="{C47CEA36-4A35-4B7A-944C-6C9D8993FDD7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N160 N167:N169 N178:N179 N198 N176 N203:N207 N183:N190 N218 N194 N192 N200 N181 N212:N216 N220:N221 O212 O214 O167:P167 N173:P173</xm:sqref>
        </x14:conditionalFormatting>
        <x14:conditionalFormatting xmlns:xm="http://schemas.microsoft.com/office/excel/2006/main">
          <x14:cfRule type="expression" priority="111" stopIfTrue="1" id="{5CD8326A-B330-493C-8799-D498BD586FDC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M212:M216 M198 M200 M218 M155:O157 N172:O172 L155:L156 L167:M169 L204:M207 L178:M179 L197:L200 L212 L160:M160 L183:M190 L194:M194 L192:M192 L181:M181 L172:M173 M197:N197 L211:N211 M199:N199 P155:P156 M220:M222 N222:O222</xm:sqref>
        </x14:conditionalFormatting>
        <x14:conditionalFormatting xmlns:xm="http://schemas.microsoft.com/office/excel/2006/main">
          <x14:cfRule type="expression" priority="110" stopIfTrue="1" id="{9F9FA463-DB0B-4F07-B53C-D563AF287866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K204:K212 K155 K160 K178:K179 K167:K169 K197:K201 K192 K194 K181:K190 K172 L208:O210 L201:P201 L182:P182 P208:P209</xm:sqref>
        </x14:conditionalFormatting>
        <x14:conditionalFormatting xmlns:xm="http://schemas.microsoft.com/office/excel/2006/main">
          <x14:cfRule type="expression" priority="109" stopIfTrue="1" id="{6CBF909D-6F56-4F41-A4CB-33E93B70ED4E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J160 J178:J179 J168:J169 J172 J197:J205 J192 J194 J181 J183:J190 K202:M203 J163:N163 N202:P202</xm:sqref>
        </x14:conditionalFormatting>
        <x14:conditionalFormatting xmlns:xm="http://schemas.microsoft.com/office/excel/2006/main">
          <x14:cfRule type="expression" priority="106" stopIfTrue="1" id="{310BBABD-011A-42BA-B486-FEE9AF0FC41A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I157:I196 I155:J155 J182 J164:J167 J173:K177 J157:L159 L174:M177 J195:N196 O196 J191:O191 N177:P177 J161:P162 J193:P193 M158:P159 K164:P166 J180:P180 J170:P171 N174:P175</xm:sqref>
        </x14:conditionalFormatting>
        <x14:conditionalFormatting xmlns:xm="http://schemas.microsoft.com/office/excel/2006/main">
          <x14:cfRule type="expression" priority="107" stopIfTrue="1" id="{71ECFD91-5AC9-47AD-87EB-B9037D66CE9B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G154:G159 G161:G182 H187:H190 G185:G196</xm:sqref>
        </x14:conditionalFormatting>
        <x14:conditionalFormatting xmlns:xm="http://schemas.microsoft.com/office/excel/2006/main">
          <x14:cfRule type="expression" priority="108" stopIfTrue="1" id="{0C9AD50C-B07C-43B1-B996-1B371A47324F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G160:H160 G183:H183 G184 F154:F196</xm:sqref>
        </x14:conditionalFormatting>
        <x14:conditionalFormatting xmlns:xm="http://schemas.microsoft.com/office/excel/2006/main">
          <x14:cfRule type="expression" priority="104" stopIfTrue="1" id="{59C49C53-EF8D-4441-AF04-886CF5A39F80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B224:B227</xm:sqref>
        </x14:conditionalFormatting>
        <x14:conditionalFormatting xmlns:xm="http://schemas.microsoft.com/office/excel/2006/main">
          <x14:cfRule type="expression" priority="105" stopIfTrue="1" id="{24CA805A-7357-4A64-8AF0-4BDB4C4DE464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C224:C227</xm:sqref>
        </x14:conditionalFormatting>
        <x14:conditionalFormatting xmlns:xm="http://schemas.microsoft.com/office/excel/2006/main">
          <x14:cfRule type="expression" priority="101" stopIfTrue="1" id="{C84F0667-A248-462E-AD1D-AA398CE7AA58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O224:O227</xm:sqref>
        </x14:conditionalFormatting>
        <x14:conditionalFormatting xmlns:xm="http://schemas.microsoft.com/office/excel/2006/main">
          <x14:cfRule type="expression" priority="102" stopIfTrue="1" id="{120D6BC7-9582-45F1-A7C9-52635101C4AC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H223:H227 I223:P223</xm:sqref>
        </x14:conditionalFormatting>
        <x14:conditionalFormatting xmlns:xm="http://schemas.microsoft.com/office/excel/2006/main">
          <x14:cfRule type="expression" priority="103" stopIfTrue="1" id="{031573E7-7C59-4D2A-9B8F-8D87615CFCF6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E223:E227</xm:sqref>
        </x14:conditionalFormatting>
        <x14:conditionalFormatting xmlns:xm="http://schemas.microsoft.com/office/excel/2006/main">
          <x14:cfRule type="expression" priority="100" stopIfTrue="1" id="{0B9E4B71-1B2D-4260-9B42-67EC12531061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N224:N227</xm:sqref>
        </x14:conditionalFormatting>
        <x14:conditionalFormatting xmlns:xm="http://schemas.microsoft.com/office/excel/2006/main">
          <x14:cfRule type="expression" priority="99" stopIfTrue="1" id="{EDB237F1-B6C7-49DA-B43B-9B23E04B4872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L224:M227</xm:sqref>
        </x14:conditionalFormatting>
        <x14:conditionalFormatting xmlns:xm="http://schemas.microsoft.com/office/excel/2006/main">
          <x14:cfRule type="expression" priority="98" stopIfTrue="1" id="{FAAAD9FA-CADC-49A2-A286-692AC7C90FD7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K224:K227</xm:sqref>
        </x14:conditionalFormatting>
        <x14:conditionalFormatting xmlns:xm="http://schemas.microsoft.com/office/excel/2006/main">
          <x14:cfRule type="expression" priority="97" stopIfTrue="1" id="{BDF4D315-FE11-41C7-98A8-ED27E116FC86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J224:J227</xm:sqref>
        </x14:conditionalFormatting>
        <x14:conditionalFormatting xmlns:xm="http://schemas.microsoft.com/office/excel/2006/main">
          <x14:cfRule type="expression" priority="94" stopIfTrue="1" id="{BC028AD3-7F4F-46DB-84DF-7A0935EF8BF8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I224:I227</xm:sqref>
        </x14:conditionalFormatting>
        <x14:conditionalFormatting xmlns:xm="http://schemas.microsoft.com/office/excel/2006/main">
          <x14:cfRule type="expression" priority="95" stopIfTrue="1" id="{D3808F4D-2B1A-470B-8E95-C84D68EA3446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G223:G227</xm:sqref>
        </x14:conditionalFormatting>
        <x14:conditionalFormatting xmlns:xm="http://schemas.microsoft.com/office/excel/2006/main">
          <x14:cfRule type="expression" priority="96" stopIfTrue="1" id="{5331B191-5954-4858-A741-2B42DFA63CCD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F223:F227</xm:sqref>
        </x14:conditionalFormatting>
        <x14:conditionalFormatting xmlns:xm="http://schemas.microsoft.com/office/excel/2006/main">
          <x14:cfRule type="expression" priority="92" stopIfTrue="1" id="{1F7674BC-31D8-44FA-96EB-5CA79422CEF1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H228</xm:sqref>
        </x14:conditionalFormatting>
        <x14:conditionalFormatting xmlns:xm="http://schemas.microsoft.com/office/excel/2006/main">
          <x14:cfRule type="expression" priority="93" stopIfTrue="1" id="{6019FC18-A290-42FE-9C88-46995603CB7C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E228</xm:sqref>
        </x14:conditionalFormatting>
        <x14:conditionalFormatting xmlns:xm="http://schemas.microsoft.com/office/excel/2006/main">
          <x14:cfRule type="expression" priority="91" stopIfTrue="1" id="{E6EC576C-7A67-4244-9E76-6549F43FACD8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L228:P228</xm:sqref>
        </x14:conditionalFormatting>
        <x14:conditionalFormatting xmlns:xm="http://schemas.microsoft.com/office/excel/2006/main">
          <x14:cfRule type="expression" priority="90" stopIfTrue="1" id="{4A004D59-B19E-43CE-A8A6-44C90B3B0735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K228</xm:sqref>
        </x14:conditionalFormatting>
        <x14:conditionalFormatting xmlns:xm="http://schemas.microsoft.com/office/excel/2006/main">
          <x14:cfRule type="expression" priority="89" stopIfTrue="1" id="{DA48D968-725C-4598-BAC3-E7FAC23A4E87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J228</xm:sqref>
        </x14:conditionalFormatting>
        <x14:conditionalFormatting xmlns:xm="http://schemas.microsoft.com/office/excel/2006/main">
          <x14:cfRule type="expression" priority="86" stopIfTrue="1" id="{8E9DCE8B-0B07-4EE4-9313-0E060D779B10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I228</xm:sqref>
        </x14:conditionalFormatting>
        <x14:conditionalFormatting xmlns:xm="http://schemas.microsoft.com/office/excel/2006/main">
          <x14:cfRule type="expression" priority="87" stopIfTrue="1" id="{ECC1BD58-3458-4C1F-A36C-DCC4C7A27CA4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G228</xm:sqref>
        </x14:conditionalFormatting>
        <x14:conditionalFormatting xmlns:xm="http://schemas.microsoft.com/office/excel/2006/main">
          <x14:cfRule type="expression" priority="88" stopIfTrue="1" id="{7D39460E-0E24-49DD-92CE-559852ACE2EE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F228</xm:sqref>
        </x14:conditionalFormatting>
        <x14:conditionalFormatting xmlns:xm="http://schemas.microsoft.com/office/excel/2006/main">
          <x14:cfRule type="expression" priority="84" stopIfTrue="1" id="{AEDA71C9-31C9-495B-A87D-E4FB0F397E88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H229</xm:sqref>
        </x14:conditionalFormatting>
        <x14:conditionalFormatting xmlns:xm="http://schemas.microsoft.com/office/excel/2006/main">
          <x14:cfRule type="expression" priority="85" stopIfTrue="1" id="{E35A0F15-F70A-44F4-9FF5-B7A706A78D9C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E229</xm:sqref>
        </x14:conditionalFormatting>
        <x14:conditionalFormatting xmlns:xm="http://schemas.microsoft.com/office/excel/2006/main">
          <x14:cfRule type="expression" priority="83" stopIfTrue="1" id="{10681BCF-EB1B-4F56-8A5B-1D739B1CC0F4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J229:P229</xm:sqref>
        </x14:conditionalFormatting>
        <x14:conditionalFormatting xmlns:xm="http://schemas.microsoft.com/office/excel/2006/main">
          <x14:cfRule type="expression" priority="80" stopIfTrue="1" id="{B5FF41EA-36A1-4FA6-89EC-F3B19A4CEA84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I229</xm:sqref>
        </x14:conditionalFormatting>
        <x14:conditionalFormatting xmlns:xm="http://schemas.microsoft.com/office/excel/2006/main">
          <x14:cfRule type="expression" priority="81" stopIfTrue="1" id="{68612144-1A62-41D5-9599-4B44932F5042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G229</xm:sqref>
        </x14:conditionalFormatting>
        <x14:conditionalFormatting xmlns:xm="http://schemas.microsoft.com/office/excel/2006/main">
          <x14:cfRule type="expression" priority="82" stopIfTrue="1" id="{5D0D4A20-5CF3-4CCF-9294-A9DA4CF55B58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F229</xm:sqref>
        </x14:conditionalFormatting>
        <x14:conditionalFormatting xmlns:xm="http://schemas.microsoft.com/office/excel/2006/main">
          <x14:cfRule type="expression" priority="78" stopIfTrue="1" id="{C3B33D77-4682-4C81-A356-AD591B497DA4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H230</xm:sqref>
        </x14:conditionalFormatting>
        <x14:conditionalFormatting xmlns:xm="http://schemas.microsoft.com/office/excel/2006/main">
          <x14:cfRule type="expression" priority="79" stopIfTrue="1" id="{DBA4340E-07B7-4D30-B24F-A6AA91917CDF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E230</xm:sqref>
        </x14:conditionalFormatting>
        <x14:conditionalFormatting xmlns:xm="http://schemas.microsoft.com/office/excel/2006/main">
          <x14:cfRule type="expression" priority="77" stopIfTrue="1" id="{44BE2F0C-91DA-4D59-B514-1247592F2731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L230:P230</xm:sqref>
        </x14:conditionalFormatting>
        <x14:conditionalFormatting xmlns:xm="http://schemas.microsoft.com/office/excel/2006/main">
          <x14:cfRule type="expression" priority="76" stopIfTrue="1" id="{40F37AB9-7A95-424F-9C1F-B76FBEA68882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K230</xm:sqref>
        </x14:conditionalFormatting>
        <x14:conditionalFormatting xmlns:xm="http://schemas.microsoft.com/office/excel/2006/main">
          <x14:cfRule type="expression" priority="75" stopIfTrue="1" id="{1C2F0D44-F850-4810-9B5B-2B633AED8DAE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J230</xm:sqref>
        </x14:conditionalFormatting>
        <x14:conditionalFormatting xmlns:xm="http://schemas.microsoft.com/office/excel/2006/main">
          <x14:cfRule type="expression" priority="72" stopIfTrue="1" id="{F5F67E81-508D-429A-97DF-75A7E15D3368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I230</xm:sqref>
        </x14:conditionalFormatting>
        <x14:conditionalFormatting xmlns:xm="http://schemas.microsoft.com/office/excel/2006/main">
          <x14:cfRule type="expression" priority="73" stopIfTrue="1" id="{8A94C7B1-6857-4A4C-BE7F-F0E5B4C92304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G230</xm:sqref>
        </x14:conditionalFormatting>
        <x14:conditionalFormatting xmlns:xm="http://schemas.microsoft.com/office/excel/2006/main">
          <x14:cfRule type="expression" priority="74" stopIfTrue="1" id="{5BFD8325-996A-4CBF-A609-1F89C8D14CD0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F230</xm:sqref>
        </x14:conditionalFormatting>
        <x14:conditionalFormatting xmlns:xm="http://schemas.microsoft.com/office/excel/2006/main">
          <x14:cfRule type="expression" priority="70" stopIfTrue="1" id="{8A1352E8-5AE8-427B-8E99-7922DA9D4246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H231</xm:sqref>
        </x14:conditionalFormatting>
        <x14:conditionalFormatting xmlns:xm="http://schemas.microsoft.com/office/excel/2006/main">
          <x14:cfRule type="expression" priority="71" stopIfTrue="1" id="{47B1872E-2750-440E-8603-0F7A8244E7DF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E231</xm:sqref>
        </x14:conditionalFormatting>
        <x14:conditionalFormatting xmlns:xm="http://schemas.microsoft.com/office/excel/2006/main">
          <x14:cfRule type="expression" priority="69" stopIfTrue="1" id="{FFF559B2-5981-4759-B618-4D7E9C36D23E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L231:P231</xm:sqref>
        </x14:conditionalFormatting>
        <x14:conditionalFormatting xmlns:xm="http://schemas.microsoft.com/office/excel/2006/main">
          <x14:cfRule type="expression" priority="68" stopIfTrue="1" id="{3F360C04-9DE7-4A05-9547-A8A01CC3EE2C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K231</xm:sqref>
        </x14:conditionalFormatting>
        <x14:conditionalFormatting xmlns:xm="http://schemas.microsoft.com/office/excel/2006/main">
          <x14:cfRule type="expression" priority="67" stopIfTrue="1" id="{489E6C76-A57F-4B71-B026-FCD10C6C44D5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J231</xm:sqref>
        </x14:conditionalFormatting>
        <x14:conditionalFormatting xmlns:xm="http://schemas.microsoft.com/office/excel/2006/main">
          <x14:cfRule type="expression" priority="64" stopIfTrue="1" id="{AA3ABE4E-F622-40E8-BA16-94F939E608D7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I231</xm:sqref>
        </x14:conditionalFormatting>
        <x14:conditionalFormatting xmlns:xm="http://schemas.microsoft.com/office/excel/2006/main">
          <x14:cfRule type="expression" priority="65" stopIfTrue="1" id="{82F0FECE-C48B-4D97-8691-BE937697A08A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G231</xm:sqref>
        </x14:conditionalFormatting>
        <x14:conditionalFormatting xmlns:xm="http://schemas.microsoft.com/office/excel/2006/main">
          <x14:cfRule type="expression" priority="66" stopIfTrue="1" id="{4FA5F2D0-6DD5-4AA3-917F-B0C60B078030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F231</xm:sqref>
        </x14:conditionalFormatting>
        <x14:conditionalFormatting xmlns:xm="http://schemas.microsoft.com/office/excel/2006/main">
          <x14:cfRule type="expression" priority="62" stopIfTrue="1" id="{3C84F44F-E189-4626-B1CB-CE86A4DDFC62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B233:B235</xm:sqref>
        </x14:conditionalFormatting>
        <x14:conditionalFormatting xmlns:xm="http://schemas.microsoft.com/office/excel/2006/main">
          <x14:cfRule type="expression" priority="63" stopIfTrue="1" id="{2C34CCE9-CCA3-44B8-A63D-2E28CD2D7C83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C233:C235</xm:sqref>
        </x14:conditionalFormatting>
        <x14:conditionalFormatting xmlns:xm="http://schemas.microsoft.com/office/excel/2006/main">
          <x14:cfRule type="expression" priority="59" stopIfTrue="1" id="{AE3A89EA-F4AC-48E9-A64B-4A585A1B4CFA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O233:O235</xm:sqref>
        </x14:conditionalFormatting>
        <x14:conditionalFormatting xmlns:xm="http://schemas.microsoft.com/office/excel/2006/main">
          <x14:cfRule type="expression" priority="60" stopIfTrue="1" id="{EA39AF9F-9827-4C8E-903A-B2A6624EF55B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H234:H235 H232:P232</xm:sqref>
        </x14:conditionalFormatting>
        <x14:conditionalFormatting xmlns:xm="http://schemas.microsoft.com/office/excel/2006/main">
          <x14:cfRule type="expression" priority="61" stopIfTrue="1" id="{3960A7B7-BDD7-4788-B2C2-C29F4F187482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E232:E235</xm:sqref>
        </x14:conditionalFormatting>
        <x14:conditionalFormatting xmlns:xm="http://schemas.microsoft.com/office/excel/2006/main">
          <x14:cfRule type="expression" priority="58" stopIfTrue="1" id="{04681440-E564-4177-8A3A-349DFD2D50CA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N233:N235</xm:sqref>
        </x14:conditionalFormatting>
        <x14:conditionalFormatting xmlns:xm="http://schemas.microsoft.com/office/excel/2006/main">
          <x14:cfRule type="expression" priority="57" stopIfTrue="1" id="{50E19CC2-2E78-48B2-AE78-2C679C9ADE29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L233:M235</xm:sqref>
        </x14:conditionalFormatting>
        <x14:conditionalFormatting xmlns:xm="http://schemas.microsoft.com/office/excel/2006/main">
          <x14:cfRule type="expression" priority="56" stopIfTrue="1" id="{AE023D6D-588A-45B0-AA67-161156147827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K233:K235</xm:sqref>
        </x14:conditionalFormatting>
        <x14:conditionalFormatting xmlns:xm="http://schemas.microsoft.com/office/excel/2006/main">
          <x14:cfRule type="expression" priority="55" stopIfTrue="1" id="{00D23E47-A36F-4B44-8F94-131D3E1827A4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J233:J235</xm:sqref>
        </x14:conditionalFormatting>
        <x14:conditionalFormatting xmlns:xm="http://schemas.microsoft.com/office/excel/2006/main">
          <x14:cfRule type="expression" priority="52" stopIfTrue="1" id="{B08E4522-09C5-4DD5-B496-388DB5E7ACD2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I234:I235</xm:sqref>
        </x14:conditionalFormatting>
        <x14:conditionalFormatting xmlns:xm="http://schemas.microsoft.com/office/excel/2006/main">
          <x14:cfRule type="expression" priority="53" stopIfTrue="1" id="{C0E1B3D3-B202-4251-BC83-69E96C0651AB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G232 G234:G235</xm:sqref>
        </x14:conditionalFormatting>
        <x14:conditionalFormatting xmlns:xm="http://schemas.microsoft.com/office/excel/2006/main">
          <x14:cfRule type="expression" priority="54" stopIfTrue="1" id="{66ADEEA1-EDEB-485C-AE24-F57D03CF2ED3}">
            <xm:f>'[Доходи листопад.xlsx]Лист1'!#REF!=1</xm:f>
            <x14:dxf>
              <font>
                <b/>
                <i val="0"/>
              </font>
              <fill>
                <patternFill>
                  <bgColor indexed="41"/>
                </patternFill>
              </fill>
            </x14:dxf>
          </x14:cfRule>
          <xm:sqref>G233:I233 F232:F235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2022-01-05T13:34:19Z</cp:lastPrinted>
  <dcterms:created xsi:type="dcterms:W3CDTF">2022-01-05T08:38:36Z</dcterms:created>
  <dcterms:modified xsi:type="dcterms:W3CDTF">2022-01-05T13:34:21Z</dcterms:modified>
</cp:coreProperties>
</file>