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Obminnik\ОБМІН\Відділ Фінансовий\Обмін фінсервер\СЕСІЇ 2026\Рішення зміни до бюджету 21.05.2026\"/>
    </mc:Choice>
  </mc:AlternateContent>
  <xr:revisionPtr revIDLastSave="0" documentId="13_ncr:1_{978E7C08-A92D-4ECB-B79B-B14745B17FEC}" xr6:coauthVersionLast="37" xr6:coauthVersionMax="37" xr10:uidLastSave="{00000000-0000-0000-0000-000000000000}"/>
  <bookViews>
    <workbookView xWindow="0" yWindow="0" windowWidth="28800" windowHeight="11580" xr2:uid="{00000000-000D-0000-FFFF-FFFF00000000}"/>
  </bookViews>
  <sheets>
    <sheet name="Дод 3" sheetId="1" r:id="rId1"/>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1" i="1" l="1"/>
  <c r="P217" i="1" l="1"/>
  <c r="O217" i="1"/>
  <c r="N217" i="1"/>
  <c r="M217" i="1"/>
  <c r="L217" i="1"/>
  <c r="K217" i="1"/>
  <c r="I217" i="1"/>
  <c r="H217" i="1"/>
  <c r="G217" i="1"/>
  <c r="J218" i="1"/>
  <c r="E218" i="1"/>
  <c r="Q218" i="1" s="1"/>
  <c r="P107" i="1"/>
  <c r="L107" i="1"/>
  <c r="K107" i="1"/>
  <c r="I220" i="1" l="1"/>
  <c r="F191" i="1" l="1"/>
  <c r="F133" i="1"/>
  <c r="F131" i="1"/>
  <c r="F205" i="1"/>
  <c r="G58" i="1"/>
  <c r="F58" i="1"/>
  <c r="F112" i="1"/>
  <c r="F111" i="1"/>
  <c r="F76" i="1"/>
  <c r="H46" i="1"/>
  <c r="F46" i="1"/>
  <c r="I23" i="1"/>
  <c r="F23" i="1"/>
  <c r="M184" i="1" l="1"/>
  <c r="I133" i="1" l="1"/>
  <c r="F60" i="1"/>
  <c r="F79" i="1" l="1"/>
  <c r="I79" i="1"/>
  <c r="F203" i="1" l="1"/>
  <c r="I150" i="1"/>
  <c r="F150" i="1"/>
  <c r="H146" i="1"/>
  <c r="F146" i="1"/>
  <c r="I131" i="1"/>
  <c r="F220" i="1" l="1"/>
  <c r="F16" i="1" l="1"/>
  <c r="I16" i="1"/>
  <c r="H29" i="1"/>
  <c r="H133" i="1" l="1"/>
  <c r="H131" i="1"/>
  <c r="H127" i="1"/>
  <c r="F127" i="1"/>
  <c r="F38" i="1"/>
  <c r="P179" i="1" l="1"/>
  <c r="L179" i="1"/>
  <c r="K179" i="1"/>
  <c r="G131" i="1" l="1"/>
  <c r="F216" i="1" l="1"/>
  <c r="H112" i="1" l="1"/>
  <c r="G213" i="1" l="1"/>
  <c r="F213" i="1"/>
  <c r="G207" i="1"/>
  <c r="F207" i="1"/>
  <c r="G205" i="1"/>
  <c r="G204" i="1"/>
  <c r="F204" i="1"/>
  <c r="G203" i="1"/>
  <c r="G201" i="1"/>
  <c r="F201" i="1"/>
  <c r="G199" i="1"/>
  <c r="F199" i="1"/>
  <c r="G191" i="1"/>
  <c r="G146" i="1"/>
  <c r="F147" i="1"/>
  <c r="G147" i="1"/>
  <c r="G145" i="1"/>
  <c r="F145" i="1"/>
  <c r="G154" i="1"/>
  <c r="F154" i="1"/>
  <c r="G141" i="1"/>
  <c r="F141" i="1"/>
  <c r="G133" i="1"/>
  <c r="G127" i="1"/>
  <c r="G112" i="1"/>
  <c r="G46" i="1"/>
  <c r="G42" i="1"/>
  <c r="F42" i="1"/>
  <c r="G41" i="1"/>
  <c r="F41" i="1"/>
  <c r="G16" i="1"/>
  <c r="F17" i="1" l="1"/>
  <c r="F108" i="1"/>
  <c r="P28" i="1" l="1"/>
  <c r="O28" i="1"/>
  <c r="N28" i="1"/>
  <c r="M28" i="1"/>
  <c r="L28" i="1"/>
  <c r="K28" i="1"/>
  <c r="I28" i="1"/>
  <c r="H28" i="1"/>
  <c r="G28" i="1"/>
  <c r="F28" i="1"/>
  <c r="F53" i="1" l="1"/>
  <c r="P30" i="1" l="1"/>
  <c r="O30" i="1"/>
  <c r="N30" i="1"/>
  <c r="M30" i="1"/>
  <c r="L30" i="1"/>
  <c r="K30" i="1"/>
  <c r="I30" i="1"/>
  <c r="H30" i="1"/>
  <c r="G30" i="1"/>
  <c r="F30" i="1"/>
  <c r="P206" i="1" l="1"/>
  <c r="O206" i="1"/>
  <c r="N206" i="1"/>
  <c r="M206" i="1"/>
  <c r="L206" i="1"/>
  <c r="K206" i="1"/>
  <c r="I206" i="1"/>
  <c r="H206" i="1"/>
  <c r="G206" i="1"/>
  <c r="F206" i="1"/>
  <c r="J209" i="1" l="1"/>
  <c r="E209" i="1"/>
  <c r="Q209" i="1" s="1"/>
  <c r="E131" i="1" l="1"/>
  <c r="J131" i="1"/>
  <c r="F129" i="1"/>
  <c r="Q131" i="1" l="1"/>
  <c r="J87" i="1"/>
  <c r="E87" i="1"/>
  <c r="Q87" i="1" s="1"/>
  <c r="J31" i="1" l="1"/>
  <c r="E31" i="1"/>
  <c r="Q31" i="1" s="1"/>
  <c r="F102" i="1" l="1"/>
  <c r="J185" i="1" l="1"/>
  <c r="E185" i="1"/>
  <c r="Q185" i="1" l="1"/>
  <c r="P181" i="1"/>
  <c r="O181" i="1"/>
  <c r="N181" i="1"/>
  <c r="M181" i="1"/>
  <c r="L181" i="1"/>
  <c r="K181" i="1"/>
  <c r="I181" i="1"/>
  <c r="H181" i="1"/>
  <c r="G181" i="1"/>
  <c r="F181" i="1"/>
  <c r="J182" i="1" l="1"/>
  <c r="E182" i="1"/>
  <c r="J181" i="1"/>
  <c r="E181" i="1"/>
  <c r="Q182" i="1" l="1"/>
  <c r="Q181" i="1"/>
  <c r="O171" i="1" l="1"/>
  <c r="N171" i="1"/>
  <c r="L171" i="1"/>
  <c r="K171" i="1"/>
  <c r="I171" i="1"/>
  <c r="H171" i="1"/>
  <c r="G171" i="1"/>
  <c r="J175" i="1" l="1"/>
  <c r="E175" i="1"/>
  <c r="F171" i="1"/>
  <c r="Q175" i="1" l="1"/>
  <c r="I64" i="1"/>
  <c r="H64" i="1"/>
  <c r="G64" i="1"/>
  <c r="F64" i="1"/>
  <c r="P67" i="1"/>
  <c r="O67" i="1"/>
  <c r="N67" i="1"/>
  <c r="M67" i="1"/>
  <c r="L67" i="1"/>
  <c r="K67" i="1"/>
  <c r="I67" i="1"/>
  <c r="H67" i="1"/>
  <c r="P69" i="1"/>
  <c r="O69" i="1"/>
  <c r="N69" i="1"/>
  <c r="M69" i="1"/>
  <c r="L69" i="1"/>
  <c r="K69" i="1"/>
  <c r="I69" i="1"/>
  <c r="H69" i="1"/>
  <c r="G69" i="1"/>
  <c r="F69" i="1"/>
  <c r="E69" i="1" s="1"/>
  <c r="J70" i="1"/>
  <c r="E70" i="1"/>
  <c r="Q70" i="1" l="1"/>
  <c r="J69" i="1"/>
  <c r="Q69" i="1" s="1"/>
  <c r="I63" i="1"/>
  <c r="H63" i="1"/>
  <c r="J67" i="1"/>
  <c r="G67" i="1" l="1"/>
  <c r="G63" i="1" s="1"/>
  <c r="F67" i="1"/>
  <c r="E67" i="1" l="1"/>
  <c r="Q67" i="1" s="1"/>
  <c r="F63" i="1"/>
  <c r="P173" i="1" l="1"/>
  <c r="P171" i="1" s="1"/>
  <c r="J174" i="1"/>
  <c r="E174" i="1"/>
  <c r="Q174" i="1" l="1"/>
  <c r="P26" i="1" l="1"/>
  <c r="O26" i="1"/>
  <c r="N26" i="1"/>
  <c r="M26" i="1"/>
  <c r="L26" i="1"/>
  <c r="K26" i="1"/>
  <c r="I26" i="1"/>
  <c r="H26" i="1"/>
  <c r="G26" i="1"/>
  <c r="F26" i="1"/>
  <c r="J29" i="1" l="1"/>
  <c r="E29" i="1"/>
  <c r="J28" i="1"/>
  <c r="M173" i="1"/>
  <c r="M171" i="1" s="1"/>
  <c r="Q29" i="1" l="1"/>
  <c r="E28" i="1"/>
  <c r="Q28" i="1" s="1"/>
  <c r="P158" i="1" l="1"/>
  <c r="O158" i="1"/>
  <c r="N158" i="1"/>
  <c r="M158" i="1"/>
  <c r="L158" i="1"/>
  <c r="K158" i="1"/>
  <c r="I158" i="1"/>
  <c r="H158" i="1"/>
  <c r="G158" i="1"/>
  <c r="F158" i="1"/>
  <c r="J162" i="1"/>
  <c r="E162" i="1"/>
  <c r="J161" i="1"/>
  <c r="E161" i="1"/>
  <c r="J183" i="1"/>
  <c r="E183" i="1"/>
  <c r="Q183" i="1" l="1"/>
  <c r="Q162" i="1"/>
  <c r="Q161" i="1"/>
  <c r="J184" i="1" l="1"/>
  <c r="E184" i="1"/>
  <c r="Q184" i="1" l="1"/>
  <c r="J179" i="1" l="1"/>
  <c r="E179" i="1"/>
  <c r="Q179" i="1" l="1"/>
  <c r="P117" i="1"/>
  <c r="P55" i="1" l="1"/>
  <c r="O55" i="1"/>
  <c r="N55" i="1"/>
  <c r="M55" i="1"/>
  <c r="L55" i="1"/>
  <c r="K55" i="1"/>
  <c r="I55" i="1"/>
  <c r="H55" i="1"/>
  <c r="G55" i="1"/>
  <c r="F55" i="1"/>
  <c r="J57" i="1"/>
  <c r="E57" i="1"/>
  <c r="Q57" i="1" s="1"/>
  <c r="J180" i="1" l="1"/>
  <c r="E180" i="1"/>
  <c r="Q180" i="1" l="1"/>
  <c r="M90" i="1"/>
  <c r="E120" i="1"/>
  <c r="J96" i="1"/>
  <c r="E96" i="1"/>
  <c r="Q96" i="1" l="1"/>
  <c r="J167" i="1" l="1"/>
  <c r="J163" i="1"/>
  <c r="K150" i="1" l="1"/>
  <c r="E167" i="1" l="1"/>
  <c r="J166" i="1"/>
  <c r="E166" i="1"/>
  <c r="P165" i="1"/>
  <c r="O165" i="1"/>
  <c r="N165" i="1"/>
  <c r="M165" i="1"/>
  <c r="L165" i="1"/>
  <c r="K165" i="1"/>
  <c r="I165" i="1"/>
  <c r="H165" i="1"/>
  <c r="G165" i="1"/>
  <c r="F165" i="1"/>
  <c r="J84" i="1"/>
  <c r="J165" i="1" l="1"/>
  <c r="Q167" i="1"/>
  <c r="Q166" i="1"/>
  <c r="E165" i="1"/>
  <c r="Q165" i="1" l="1"/>
  <c r="P176" i="1"/>
  <c r="O176" i="1"/>
  <c r="N176" i="1"/>
  <c r="M176" i="1"/>
  <c r="L176" i="1"/>
  <c r="K176" i="1"/>
  <c r="I176" i="1"/>
  <c r="H176" i="1"/>
  <c r="G176" i="1"/>
  <c r="F176" i="1"/>
  <c r="J178" i="1"/>
  <c r="E178" i="1"/>
  <c r="J177" i="1"/>
  <c r="E177" i="1"/>
  <c r="Q178" i="1" l="1"/>
  <c r="Q177" i="1"/>
  <c r="E176" i="1"/>
  <c r="J176" i="1"/>
  <c r="E139" i="1"/>
  <c r="J139" i="1"/>
  <c r="Q176" i="1" l="1"/>
  <c r="Q139" i="1"/>
  <c r="J173" i="1" l="1"/>
  <c r="E173" i="1"/>
  <c r="J172" i="1"/>
  <c r="E172" i="1"/>
  <c r="E171" i="1" l="1"/>
  <c r="Q173" i="1"/>
  <c r="Q172" i="1"/>
  <c r="J171" i="1" l="1"/>
  <c r="Q171" i="1" s="1"/>
  <c r="J100" i="1" l="1"/>
  <c r="E100" i="1"/>
  <c r="P99" i="1"/>
  <c r="O99" i="1"/>
  <c r="N99" i="1"/>
  <c r="M99" i="1"/>
  <c r="L99" i="1"/>
  <c r="K99" i="1"/>
  <c r="I99" i="1"/>
  <c r="H99" i="1"/>
  <c r="G99" i="1"/>
  <c r="F99" i="1"/>
  <c r="J99" i="1" l="1"/>
  <c r="E99" i="1"/>
  <c r="Q100" i="1"/>
  <c r="Q99" i="1" l="1"/>
  <c r="J170" i="1"/>
  <c r="J169" i="1" l="1"/>
  <c r="K149" i="1" l="1"/>
  <c r="L168" i="1" l="1"/>
  <c r="M168" i="1"/>
  <c r="N168" i="1"/>
  <c r="O168" i="1"/>
  <c r="P168" i="1"/>
  <c r="K168" i="1"/>
  <c r="G168" i="1"/>
  <c r="H168" i="1"/>
  <c r="I168" i="1"/>
  <c r="F168" i="1"/>
  <c r="E169" i="1"/>
  <c r="Q169" i="1" s="1"/>
  <c r="E170" i="1"/>
  <c r="Q170" i="1" s="1"/>
  <c r="J168" i="1" l="1"/>
  <c r="E168" i="1"/>
  <c r="Q168" i="1" s="1"/>
  <c r="K129" i="1" l="1"/>
  <c r="L129" i="1"/>
  <c r="J118" i="1" l="1"/>
  <c r="O117" i="1"/>
  <c r="N117" i="1"/>
  <c r="M117" i="1"/>
  <c r="M116" i="1" s="1"/>
  <c r="L117" i="1"/>
  <c r="L116" i="1" s="1"/>
  <c r="K117" i="1"/>
  <c r="K116" i="1" s="1"/>
  <c r="I117" i="1"/>
  <c r="I116" i="1" s="1"/>
  <c r="H117" i="1"/>
  <c r="H116" i="1" s="1"/>
  <c r="G117" i="1"/>
  <c r="G116" i="1" s="1"/>
  <c r="F117" i="1"/>
  <c r="F116" i="1" s="1"/>
  <c r="E118" i="1"/>
  <c r="P64" i="1"/>
  <c r="P63" i="1" s="1"/>
  <c r="O64" i="1"/>
  <c r="O63" i="1" s="1"/>
  <c r="N64" i="1"/>
  <c r="N63" i="1" s="1"/>
  <c r="M64" i="1"/>
  <c r="L64" i="1"/>
  <c r="L63" i="1" s="1"/>
  <c r="K64" i="1"/>
  <c r="K63" i="1" s="1"/>
  <c r="J68" i="1"/>
  <c r="E68" i="1"/>
  <c r="J64" i="1" l="1"/>
  <c r="M63" i="1"/>
  <c r="Q68" i="1"/>
  <c r="Q118" i="1"/>
  <c r="E147" i="1" l="1"/>
  <c r="P144" i="1"/>
  <c r="O144" i="1"/>
  <c r="N144" i="1"/>
  <c r="M144" i="1"/>
  <c r="L144" i="1"/>
  <c r="K144" i="1"/>
  <c r="I144" i="1"/>
  <c r="H144" i="1"/>
  <c r="G144" i="1"/>
  <c r="J147" i="1"/>
  <c r="Q147" i="1" l="1"/>
  <c r="F144" i="1"/>
  <c r="P33" i="1"/>
  <c r="O33" i="1"/>
  <c r="N33" i="1"/>
  <c r="M33" i="1"/>
  <c r="J30" i="1" s="1"/>
  <c r="L33" i="1"/>
  <c r="K33" i="1"/>
  <c r="I33" i="1"/>
  <c r="H33" i="1"/>
  <c r="G33" i="1"/>
  <c r="F33" i="1"/>
  <c r="E30" i="1" s="1"/>
  <c r="J34" i="1"/>
  <c r="E34" i="1"/>
  <c r="Q30" i="1" l="1"/>
  <c r="Q34" i="1"/>
  <c r="K24" i="1" l="1"/>
  <c r="K22" i="1" s="1"/>
  <c r="M132" i="1" l="1"/>
  <c r="M40" i="1" l="1"/>
  <c r="F24" i="1" l="1"/>
  <c r="F22" i="1" s="1"/>
  <c r="P113" i="1" l="1"/>
  <c r="O113" i="1"/>
  <c r="N113" i="1"/>
  <c r="M113" i="1"/>
  <c r="L113" i="1"/>
  <c r="K113" i="1"/>
  <c r="I113" i="1"/>
  <c r="H113" i="1"/>
  <c r="G113" i="1"/>
  <c r="F113" i="1"/>
  <c r="J114" i="1"/>
  <c r="E114" i="1"/>
  <c r="Q114" i="1" s="1"/>
  <c r="J92" i="1" l="1"/>
  <c r="E92" i="1"/>
  <c r="Q92" i="1" l="1"/>
  <c r="F75" i="1"/>
  <c r="P75" i="1"/>
  <c r="O75" i="1"/>
  <c r="N75" i="1"/>
  <c r="M75" i="1"/>
  <c r="L75" i="1"/>
  <c r="K75" i="1"/>
  <c r="I75" i="1"/>
  <c r="H75" i="1"/>
  <c r="G75" i="1"/>
  <c r="J76" i="1"/>
  <c r="E76" i="1"/>
  <c r="Q76" i="1" s="1"/>
  <c r="J38" i="1" l="1"/>
  <c r="E38" i="1"/>
  <c r="Q38" i="1" l="1"/>
  <c r="J53" i="1"/>
  <c r="E53" i="1"/>
  <c r="Q53" i="1" l="1"/>
  <c r="J220" i="1" l="1"/>
  <c r="E220" i="1"/>
  <c r="J77" i="1"/>
  <c r="E77" i="1"/>
  <c r="Q220" i="1" l="1"/>
  <c r="J75" i="1"/>
  <c r="E75" i="1"/>
  <c r="Q77" i="1"/>
  <c r="Q75" i="1" l="1"/>
  <c r="P83" i="1" l="1"/>
  <c r="O83" i="1"/>
  <c r="N83" i="1"/>
  <c r="M83" i="1"/>
  <c r="L83" i="1"/>
  <c r="K83" i="1"/>
  <c r="I83" i="1"/>
  <c r="H83" i="1"/>
  <c r="G83" i="1"/>
  <c r="F83" i="1"/>
  <c r="E84" i="1"/>
  <c r="J86" i="1"/>
  <c r="E86" i="1"/>
  <c r="J115" i="1"/>
  <c r="E115" i="1"/>
  <c r="J113" i="1"/>
  <c r="Q115" i="1" l="1"/>
  <c r="Q84" i="1"/>
  <c r="Q86" i="1"/>
  <c r="J157" i="1"/>
  <c r="E157" i="1"/>
  <c r="J156" i="1"/>
  <c r="E156" i="1"/>
  <c r="O155" i="1"/>
  <c r="N155" i="1"/>
  <c r="M155" i="1"/>
  <c r="L155" i="1"/>
  <c r="K155" i="1"/>
  <c r="I155" i="1"/>
  <c r="H155" i="1"/>
  <c r="G155" i="1"/>
  <c r="Q157" i="1" l="1"/>
  <c r="Q156" i="1"/>
  <c r="F155" i="1"/>
  <c r="E155" i="1" s="1"/>
  <c r="P155" i="1"/>
  <c r="J155" i="1" s="1"/>
  <c r="Q155" i="1" l="1"/>
  <c r="P193" i="1" l="1"/>
  <c r="O193" i="1"/>
  <c r="N193" i="1"/>
  <c r="M193" i="1"/>
  <c r="L193" i="1"/>
  <c r="K193" i="1"/>
  <c r="I193" i="1"/>
  <c r="H193" i="1"/>
  <c r="G193" i="1"/>
  <c r="F193" i="1"/>
  <c r="J194" i="1"/>
  <c r="E194" i="1"/>
  <c r="Q194" i="1" l="1"/>
  <c r="P104" i="1" l="1"/>
  <c r="N104" i="1"/>
  <c r="L104" i="1"/>
  <c r="J105" i="1"/>
  <c r="O104" i="1"/>
  <c r="M104" i="1"/>
  <c r="K104" i="1"/>
  <c r="J104" i="1" l="1"/>
  <c r="F104" i="1"/>
  <c r="J159" i="1" l="1"/>
  <c r="J160" i="1"/>
  <c r="E160" i="1"/>
  <c r="E159" i="1"/>
  <c r="J158" i="1" l="1"/>
  <c r="E158" i="1"/>
  <c r="Q159" i="1"/>
  <c r="Q160" i="1"/>
  <c r="Q158" i="1" l="1"/>
  <c r="O72" i="1"/>
  <c r="N72" i="1"/>
  <c r="I72" i="1"/>
  <c r="H72" i="1"/>
  <c r="G72" i="1"/>
  <c r="F72" i="1"/>
  <c r="J74" i="1"/>
  <c r="E74" i="1"/>
  <c r="Q74" i="1" l="1"/>
  <c r="P45" i="1" l="1"/>
  <c r="O45" i="1"/>
  <c r="N45" i="1"/>
  <c r="M45" i="1"/>
  <c r="L45" i="1"/>
  <c r="K45" i="1"/>
  <c r="I45" i="1"/>
  <c r="H45" i="1"/>
  <c r="F45" i="1"/>
  <c r="J51" i="1"/>
  <c r="E51" i="1"/>
  <c r="G45" i="1"/>
  <c r="Q51" i="1" l="1"/>
  <c r="P72" i="1"/>
  <c r="L72" i="1"/>
  <c r="K72" i="1"/>
  <c r="K93" i="1" l="1"/>
  <c r="M72" i="1" l="1"/>
  <c r="P149" i="1" l="1"/>
  <c r="L149" i="1"/>
  <c r="O149" i="1"/>
  <c r="N149" i="1"/>
  <c r="M149" i="1"/>
  <c r="I149" i="1"/>
  <c r="E153" i="1"/>
  <c r="J153" i="1"/>
  <c r="G152" i="1"/>
  <c r="F152" i="1"/>
  <c r="H149" i="1"/>
  <c r="J58" i="1"/>
  <c r="E58" i="1"/>
  <c r="E80" i="1"/>
  <c r="J80" i="1"/>
  <c r="Q58" i="1" l="1"/>
  <c r="Q153" i="1"/>
  <c r="Q80" i="1"/>
  <c r="J98" i="1" l="1"/>
  <c r="K97" i="1"/>
  <c r="K91" i="1" s="1"/>
  <c r="E98" i="1"/>
  <c r="P97" i="1"/>
  <c r="O97" i="1"/>
  <c r="N97" i="1"/>
  <c r="M97" i="1"/>
  <c r="L97" i="1"/>
  <c r="I97" i="1"/>
  <c r="H97" i="1"/>
  <c r="G97" i="1"/>
  <c r="F97" i="1"/>
  <c r="J66" i="1"/>
  <c r="E66" i="1"/>
  <c r="J65" i="1"/>
  <c r="E65" i="1"/>
  <c r="Q98" i="1" l="1"/>
  <c r="E97" i="1"/>
  <c r="J97" i="1"/>
  <c r="Q65" i="1"/>
  <c r="Q66" i="1"/>
  <c r="J63" i="1"/>
  <c r="E64" i="1"/>
  <c r="Q64" i="1" s="1"/>
  <c r="E63" i="1"/>
  <c r="E163" i="1"/>
  <c r="G149" i="1"/>
  <c r="F149" i="1"/>
  <c r="Q97" i="1" l="1"/>
  <c r="Q63" i="1"/>
  <c r="Q163" i="1"/>
  <c r="J21" i="1" l="1"/>
  <c r="E21" i="1"/>
  <c r="P20" i="1"/>
  <c r="P18" i="1" s="1"/>
  <c r="O20" i="1"/>
  <c r="O18" i="1" s="1"/>
  <c r="N20" i="1"/>
  <c r="N18" i="1" s="1"/>
  <c r="M20" i="1"/>
  <c r="L20" i="1"/>
  <c r="L18" i="1" s="1"/>
  <c r="K20" i="1"/>
  <c r="K18" i="1" s="1"/>
  <c r="I20" i="1"/>
  <c r="I18" i="1" s="1"/>
  <c r="H20" i="1"/>
  <c r="H18" i="1" s="1"/>
  <c r="G20" i="1"/>
  <c r="G18" i="1" s="1"/>
  <c r="F20" i="1"/>
  <c r="F18" i="1" s="1"/>
  <c r="J19" i="1"/>
  <c r="E19" i="1"/>
  <c r="E18" i="1" l="1"/>
  <c r="J20" i="1"/>
  <c r="M18" i="1"/>
  <c r="J18" i="1" s="1"/>
  <c r="E20" i="1"/>
  <c r="Q19" i="1"/>
  <c r="Q21" i="1"/>
  <c r="Q20" i="1" l="1"/>
  <c r="Q18" i="1"/>
  <c r="P106" i="1"/>
  <c r="O106" i="1"/>
  <c r="N106" i="1"/>
  <c r="M106" i="1"/>
  <c r="L106" i="1"/>
  <c r="K106" i="1"/>
  <c r="I106" i="1"/>
  <c r="H106" i="1"/>
  <c r="H104" i="1" s="1"/>
  <c r="G106" i="1"/>
  <c r="G104" i="1" s="1"/>
  <c r="F106" i="1"/>
  <c r="J107" i="1"/>
  <c r="E107" i="1"/>
  <c r="J154" i="1"/>
  <c r="E154" i="1"/>
  <c r="P138" i="1"/>
  <c r="O138" i="1"/>
  <c r="N138" i="1"/>
  <c r="M138" i="1"/>
  <c r="L138" i="1"/>
  <c r="K138" i="1"/>
  <c r="I138" i="1"/>
  <c r="H138" i="1"/>
  <c r="G138" i="1"/>
  <c r="F138" i="1"/>
  <c r="Q107" i="1" l="1"/>
  <c r="E105" i="1"/>
  <c r="Q105" i="1" s="1"/>
  <c r="I104" i="1"/>
  <c r="E138" i="1"/>
  <c r="J138" i="1"/>
  <c r="Q154" i="1"/>
  <c r="J78" i="1"/>
  <c r="E104" i="1" l="1"/>
  <c r="Q104" i="1" s="1"/>
  <c r="Q138" i="1"/>
  <c r="J164" i="1"/>
  <c r="E164" i="1"/>
  <c r="J152" i="1"/>
  <c r="E152" i="1"/>
  <c r="Q152" i="1" l="1"/>
  <c r="Q164" i="1"/>
  <c r="P61" i="1"/>
  <c r="O61" i="1"/>
  <c r="N61" i="1"/>
  <c r="M61" i="1"/>
  <c r="L61" i="1"/>
  <c r="K61" i="1"/>
  <c r="I61" i="1"/>
  <c r="H61" i="1"/>
  <c r="G61" i="1"/>
  <c r="F61" i="1"/>
  <c r="J62" i="1"/>
  <c r="E62" i="1"/>
  <c r="J61" i="1" l="1"/>
  <c r="Q62" i="1"/>
  <c r="E61" i="1"/>
  <c r="Q61" i="1" l="1"/>
  <c r="F52" i="1"/>
  <c r="P122" i="1"/>
  <c r="N122" i="1"/>
  <c r="N116" i="1" s="1"/>
  <c r="L122" i="1"/>
  <c r="J123" i="1"/>
  <c r="H122" i="1"/>
  <c r="E123" i="1"/>
  <c r="O122" i="1"/>
  <c r="O116" i="1" s="1"/>
  <c r="M122" i="1"/>
  <c r="K122" i="1"/>
  <c r="I122" i="1"/>
  <c r="E121" i="1" s="1"/>
  <c r="G122" i="1"/>
  <c r="J120" i="1" l="1"/>
  <c r="Q120" i="1" s="1"/>
  <c r="P116" i="1"/>
  <c r="J121" i="1"/>
  <c r="Q121" i="1" s="1"/>
  <c r="Q123" i="1"/>
  <c r="J122" i="1"/>
  <c r="F122" i="1"/>
  <c r="J73" i="1"/>
  <c r="E122" i="1" l="1"/>
  <c r="Q122" i="1" s="1"/>
  <c r="O93" i="1"/>
  <c r="O91" i="1" s="1"/>
  <c r="N93" i="1"/>
  <c r="N91" i="1" s="1"/>
  <c r="M93" i="1"/>
  <c r="M91" i="1" s="1"/>
  <c r="L93" i="1"/>
  <c r="L91" i="1" s="1"/>
  <c r="I93" i="1"/>
  <c r="I91" i="1" s="1"/>
  <c r="H93" i="1"/>
  <c r="H91" i="1" s="1"/>
  <c r="G93" i="1"/>
  <c r="G91" i="1" s="1"/>
  <c r="F93" i="1"/>
  <c r="F91" i="1" s="1"/>
  <c r="J94" i="1"/>
  <c r="E94" i="1"/>
  <c r="P192" i="1"/>
  <c r="O192" i="1"/>
  <c r="N192" i="1"/>
  <c r="M192" i="1"/>
  <c r="L192" i="1"/>
  <c r="K192" i="1"/>
  <c r="I192" i="1"/>
  <c r="H192" i="1"/>
  <c r="G192" i="1"/>
  <c r="J195" i="1"/>
  <c r="E195" i="1"/>
  <c r="E93" i="1" l="1"/>
  <c r="P93" i="1"/>
  <c r="P91" i="1" s="1"/>
  <c r="Q94" i="1"/>
  <c r="E193" i="1"/>
  <c r="F192" i="1"/>
  <c r="E192" i="1" s="1"/>
  <c r="J193" i="1"/>
  <c r="Q195" i="1"/>
  <c r="J192" i="1"/>
  <c r="Q193" i="1" l="1"/>
  <c r="J93" i="1"/>
  <c r="Q93" i="1" s="1"/>
  <c r="Q192" i="1"/>
  <c r="P143" i="1" l="1"/>
  <c r="O143" i="1"/>
  <c r="N143" i="1"/>
  <c r="M143" i="1"/>
  <c r="L143" i="1"/>
  <c r="K143" i="1"/>
  <c r="I143" i="1"/>
  <c r="H143" i="1"/>
  <c r="G143" i="1"/>
  <c r="F143" i="1"/>
  <c r="J146" i="1"/>
  <c r="E146" i="1"/>
  <c r="J145" i="1"/>
  <c r="E145" i="1"/>
  <c r="Q145" i="1" l="1"/>
  <c r="Q146" i="1"/>
  <c r="J148" i="1"/>
  <c r="E148" i="1"/>
  <c r="J144" i="1"/>
  <c r="E144" i="1"/>
  <c r="J143" i="1"/>
  <c r="E143" i="1"/>
  <c r="J150" i="1"/>
  <c r="E150" i="1"/>
  <c r="J151" i="1"/>
  <c r="E151" i="1"/>
  <c r="J149" i="1"/>
  <c r="E149" i="1"/>
  <c r="Q149" i="1" l="1"/>
  <c r="Q151" i="1"/>
  <c r="Q150" i="1"/>
  <c r="Q143" i="1"/>
  <c r="Q148" i="1"/>
  <c r="Q144" i="1"/>
  <c r="P136" i="1"/>
  <c r="O136" i="1"/>
  <c r="N136" i="1"/>
  <c r="M136" i="1"/>
  <c r="L136" i="1"/>
  <c r="K136" i="1"/>
  <c r="I136" i="1"/>
  <c r="H136" i="1"/>
  <c r="G136" i="1"/>
  <c r="F136" i="1"/>
  <c r="J137" i="1"/>
  <c r="E137" i="1"/>
  <c r="P132" i="1"/>
  <c r="O132" i="1"/>
  <c r="N132" i="1"/>
  <c r="L132" i="1"/>
  <c r="L128" i="1" s="1"/>
  <c r="K132" i="1"/>
  <c r="K128" i="1" s="1"/>
  <c r="I132" i="1"/>
  <c r="H132" i="1"/>
  <c r="G132" i="1"/>
  <c r="F132" i="1"/>
  <c r="Q137" i="1" l="1"/>
  <c r="E136" i="1"/>
  <c r="J136" i="1"/>
  <c r="Q136" i="1" l="1"/>
  <c r="P40" i="1" l="1"/>
  <c r="O40" i="1"/>
  <c r="N40" i="1"/>
  <c r="L40" i="1"/>
  <c r="K40" i="1"/>
  <c r="I40" i="1"/>
  <c r="H40" i="1"/>
  <c r="G40" i="1"/>
  <c r="F40" i="1"/>
  <c r="J42" i="1"/>
  <c r="E42" i="1"/>
  <c r="J41" i="1"/>
  <c r="E41" i="1"/>
  <c r="Q41" i="1" l="1"/>
  <c r="Q42" i="1"/>
  <c r="F215" i="1" l="1"/>
  <c r="J219" i="1"/>
  <c r="E219" i="1"/>
  <c r="F217" i="1"/>
  <c r="J216" i="1"/>
  <c r="E216" i="1"/>
  <c r="P215" i="1"/>
  <c r="O215" i="1"/>
  <c r="N215" i="1"/>
  <c r="M215" i="1"/>
  <c r="L215" i="1"/>
  <c r="K215" i="1"/>
  <c r="I215" i="1"/>
  <c r="I214" i="1" s="1"/>
  <c r="H215" i="1"/>
  <c r="H214" i="1" s="1"/>
  <c r="G215" i="1"/>
  <c r="J213" i="1"/>
  <c r="E213" i="1"/>
  <c r="P212" i="1"/>
  <c r="O212" i="1"/>
  <c r="N212" i="1"/>
  <c r="M212" i="1"/>
  <c r="L212" i="1"/>
  <c r="K212" i="1"/>
  <c r="I212" i="1"/>
  <c r="H212" i="1"/>
  <c r="G212" i="1"/>
  <c r="F212" i="1"/>
  <c r="P202" i="1"/>
  <c r="O202" i="1"/>
  <c r="N202" i="1"/>
  <c r="L202" i="1"/>
  <c r="K202" i="1"/>
  <c r="I202" i="1"/>
  <c r="H202" i="1"/>
  <c r="G202" i="1"/>
  <c r="J203" i="1"/>
  <c r="E203" i="1"/>
  <c r="F214" i="1" l="1"/>
  <c r="P214" i="1"/>
  <c r="P211" i="1" s="1"/>
  <c r="M214" i="1"/>
  <c r="N214" i="1"/>
  <c r="N211" i="1" s="1"/>
  <c r="O214" i="1"/>
  <c r="O211" i="1" s="1"/>
  <c r="K214" i="1"/>
  <c r="K211" i="1" s="1"/>
  <c r="G214" i="1"/>
  <c r="G211" i="1" s="1"/>
  <c r="L214" i="1"/>
  <c r="L211" i="1" s="1"/>
  <c r="I211" i="1"/>
  <c r="H211" i="1"/>
  <c r="E206" i="1"/>
  <c r="J206" i="1"/>
  <c r="E212" i="1"/>
  <c r="J212" i="1"/>
  <c r="Q213" i="1"/>
  <c r="E215" i="1"/>
  <c r="J215" i="1"/>
  <c r="E217" i="1"/>
  <c r="J217" i="1"/>
  <c r="Q219" i="1"/>
  <c r="Q203" i="1"/>
  <c r="F211" i="1"/>
  <c r="M211" i="1"/>
  <c r="M202" i="1"/>
  <c r="Q216" i="1"/>
  <c r="F202" i="1"/>
  <c r="P190" i="1"/>
  <c r="O190" i="1"/>
  <c r="N190" i="1"/>
  <c r="M190" i="1"/>
  <c r="L190" i="1"/>
  <c r="K190" i="1"/>
  <c r="I190" i="1"/>
  <c r="H190" i="1"/>
  <c r="G190" i="1"/>
  <c r="F190" i="1"/>
  <c r="P187" i="1"/>
  <c r="O187" i="1"/>
  <c r="N187" i="1"/>
  <c r="M187" i="1"/>
  <c r="L187" i="1"/>
  <c r="K187" i="1"/>
  <c r="I187" i="1"/>
  <c r="H187" i="1"/>
  <c r="G187" i="1"/>
  <c r="F187" i="1"/>
  <c r="P129" i="1"/>
  <c r="P128" i="1" s="1"/>
  <c r="O129" i="1"/>
  <c r="O128" i="1" s="1"/>
  <c r="N129" i="1"/>
  <c r="N128" i="1" s="1"/>
  <c r="M129" i="1"/>
  <c r="M128" i="1" s="1"/>
  <c r="I129" i="1"/>
  <c r="I128" i="1" s="1"/>
  <c r="H129" i="1"/>
  <c r="H128" i="1" s="1"/>
  <c r="G129" i="1"/>
  <c r="G128" i="1" s="1"/>
  <c r="F128" i="1"/>
  <c r="E78" i="1"/>
  <c r="Q78" i="1" s="1"/>
  <c r="P110" i="1"/>
  <c r="O110" i="1"/>
  <c r="N110" i="1"/>
  <c r="M110" i="1"/>
  <c r="L110" i="1"/>
  <c r="K110" i="1"/>
  <c r="I110" i="1"/>
  <c r="H110" i="1"/>
  <c r="G110" i="1"/>
  <c r="F110" i="1"/>
  <c r="J112" i="1"/>
  <c r="E112" i="1"/>
  <c r="P102" i="1"/>
  <c r="P101" i="1" s="1"/>
  <c r="O102" i="1"/>
  <c r="O101" i="1" s="1"/>
  <c r="N102" i="1"/>
  <c r="N101" i="1" s="1"/>
  <c r="M102" i="1"/>
  <c r="L102" i="1"/>
  <c r="L101" i="1" s="1"/>
  <c r="K102" i="1"/>
  <c r="K101" i="1" s="1"/>
  <c r="I102" i="1"/>
  <c r="I101" i="1" s="1"/>
  <c r="H102" i="1"/>
  <c r="H101" i="1" s="1"/>
  <c r="G102" i="1"/>
  <c r="G101" i="1" s="1"/>
  <c r="P81" i="1"/>
  <c r="P71" i="1" s="1"/>
  <c r="O81" i="1"/>
  <c r="O71" i="1" s="1"/>
  <c r="N81" i="1"/>
  <c r="N71" i="1" s="1"/>
  <c r="M81" i="1"/>
  <c r="M71" i="1" s="1"/>
  <c r="L81" i="1"/>
  <c r="L71" i="1" s="1"/>
  <c r="K81" i="1"/>
  <c r="K71" i="1" s="1"/>
  <c r="I81" i="1"/>
  <c r="I71" i="1" s="1"/>
  <c r="H81" i="1"/>
  <c r="H71" i="1" s="1"/>
  <c r="G81" i="1"/>
  <c r="G71" i="1" s="1"/>
  <c r="F81" i="1"/>
  <c r="F71" i="1" s="1"/>
  <c r="P49" i="1"/>
  <c r="O49" i="1"/>
  <c r="N49" i="1"/>
  <c r="M49" i="1"/>
  <c r="L49" i="1"/>
  <c r="K49" i="1"/>
  <c r="I49" i="1"/>
  <c r="H49" i="1"/>
  <c r="G49" i="1"/>
  <c r="F49" i="1"/>
  <c r="J50" i="1"/>
  <c r="E50" i="1"/>
  <c r="J48" i="1"/>
  <c r="E48" i="1"/>
  <c r="J47" i="1"/>
  <c r="E47" i="1"/>
  <c r="J46" i="1"/>
  <c r="E46" i="1"/>
  <c r="I186" i="1" l="1"/>
  <c r="O186" i="1"/>
  <c r="P109" i="1"/>
  <c r="F186" i="1"/>
  <c r="G109" i="1"/>
  <c r="L109" i="1"/>
  <c r="O109" i="1"/>
  <c r="H109" i="1"/>
  <c r="K109" i="1"/>
  <c r="I109" i="1"/>
  <c r="N109" i="1"/>
  <c r="N186" i="1"/>
  <c r="K186" i="1"/>
  <c r="G186" i="1"/>
  <c r="P186" i="1"/>
  <c r="H186" i="1"/>
  <c r="L186" i="1"/>
  <c r="J211" i="1"/>
  <c r="M186" i="1"/>
  <c r="Q212" i="1"/>
  <c r="Q206" i="1"/>
  <c r="Q217" i="1"/>
  <c r="Q215" i="1"/>
  <c r="J214" i="1"/>
  <c r="J83" i="1"/>
  <c r="E190" i="1"/>
  <c r="J190" i="1"/>
  <c r="E187" i="1"/>
  <c r="E45" i="1"/>
  <c r="J49" i="1"/>
  <c r="E72" i="1"/>
  <c r="J72" i="1"/>
  <c r="E81" i="1"/>
  <c r="J81" i="1"/>
  <c r="J187" i="1"/>
  <c r="E102" i="1"/>
  <c r="J102" i="1"/>
  <c r="E117" i="1"/>
  <c r="Q112" i="1"/>
  <c r="Q47" i="1"/>
  <c r="J45" i="1"/>
  <c r="E83" i="1"/>
  <c r="M109" i="1"/>
  <c r="F101" i="1"/>
  <c r="M101" i="1"/>
  <c r="Q50" i="1"/>
  <c r="Q46" i="1"/>
  <c r="Q48" i="1"/>
  <c r="E49" i="1"/>
  <c r="P39" i="1"/>
  <c r="O39" i="1"/>
  <c r="N39" i="1"/>
  <c r="M39" i="1"/>
  <c r="L39" i="1"/>
  <c r="K39" i="1"/>
  <c r="I39" i="1"/>
  <c r="H39" i="1"/>
  <c r="G39" i="1"/>
  <c r="F39" i="1"/>
  <c r="P59" i="1"/>
  <c r="O59" i="1"/>
  <c r="N59" i="1"/>
  <c r="M59" i="1"/>
  <c r="L59" i="1"/>
  <c r="K59" i="1"/>
  <c r="I59" i="1"/>
  <c r="H59" i="1"/>
  <c r="G59" i="1"/>
  <c r="F59" i="1"/>
  <c r="J54" i="1"/>
  <c r="E54" i="1"/>
  <c r="J52" i="1"/>
  <c r="E52" i="1"/>
  <c r="J40" i="1"/>
  <c r="E40" i="1"/>
  <c r="J37" i="1"/>
  <c r="E37" i="1"/>
  <c r="J36" i="1"/>
  <c r="E36" i="1"/>
  <c r="J35" i="1"/>
  <c r="E35" i="1"/>
  <c r="P43" i="1"/>
  <c r="O43" i="1"/>
  <c r="N43" i="1"/>
  <c r="M43" i="1"/>
  <c r="L43" i="1"/>
  <c r="K43" i="1"/>
  <c r="I43" i="1"/>
  <c r="H43" i="1"/>
  <c r="G43" i="1"/>
  <c r="F43" i="1"/>
  <c r="J27" i="1"/>
  <c r="P24" i="1"/>
  <c r="P22" i="1" s="1"/>
  <c r="O24" i="1"/>
  <c r="O22" i="1" s="1"/>
  <c r="N24" i="1"/>
  <c r="N22" i="1" s="1"/>
  <c r="M24" i="1"/>
  <c r="M22" i="1" s="1"/>
  <c r="L24" i="1"/>
  <c r="L22" i="1" s="1"/>
  <c r="I24" i="1"/>
  <c r="I22" i="1" s="1"/>
  <c r="H24" i="1"/>
  <c r="H22" i="1" s="1"/>
  <c r="G24" i="1"/>
  <c r="G22" i="1" s="1"/>
  <c r="J25" i="1"/>
  <c r="E25" i="1"/>
  <c r="J23" i="1"/>
  <c r="E23" i="1"/>
  <c r="I32" i="1" l="1"/>
  <c r="M32" i="1"/>
  <c r="N32" i="1"/>
  <c r="O32" i="1"/>
  <c r="G32" i="1"/>
  <c r="H32" i="1"/>
  <c r="P32" i="1"/>
  <c r="L32" i="1"/>
  <c r="K32" i="1"/>
  <c r="F32" i="1"/>
  <c r="Q49" i="1"/>
  <c r="Q187" i="1"/>
  <c r="Q81" i="1"/>
  <c r="Q72" i="1"/>
  <c r="Q190" i="1"/>
  <c r="Q45" i="1"/>
  <c r="Q83" i="1"/>
  <c r="Q102" i="1"/>
  <c r="E33" i="1"/>
  <c r="E43" i="1"/>
  <c r="J43" i="1"/>
  <c r="E24" i="1"/>
  <c r="J24" i="1"/>
  <c r="J33" i="1"/>
  <c r="Q36" i="1"/>
  <c r="Q40" i="1"/>
  <c r="Q52" i="1"/>
  <c r="E55" i="1"/>
  <c r="J55" i="1"/>
  <c r="J59" i="1"/>
  <c r="J39" i="1"/>
  <c r="Q23" i="1"/>
  <c r="E59" i="1"/>
  <c r="E39" i="1"/>
  <c r="Q35" i="1"/>
  <c r="Q37" i="1"/>
  <c r="Q54" i="1"/>
  <c r="Q25" i="1"/>
  <c r="P15" i="1"/>
  <c r="O15" i="1"/>
  <c r="N15" i="1"/>
  <c r="M15" i="1"/>
  <c r="L15" i="1"/>
  <c r="K15" i="1"/>
  <c r="I15" i="1"/>
  <c r="H15" i="1"/>
  <c r="G15" i="1"/>
  <c r="F15" i="1"/>
  <c r="Q33" i="1" l="1"/>
  <c r="Q43" i="1"/>
  <c r="Q55" i="1"/>
  <c r="Q39" i="1"/>
  <c r="Q24" i="1"/>
  <c r="Q59" i="1"/>
  <c r="J85" i="1" l="1"/>
  <c r="E85" i="1"/>
  <c r="Q85" i="1" l="1"/>
  <c r="E27" i="1" l="1"/>
  <c r="Q27" i="1" s="1"/>
  <c r="E17" i="1" l="1"/>
  <c r="J111" i="1" l="1"/>
  <c r="E111" i="1"/>
  <c r="J110" i="1" l="1"/>
  <c r="Q111" i="1"/>
  <c r="E110" i="1"/>
  <c r="Q110" i="1" l="1"/>
  <c r="J95" i="1" l="1"/>
  <c r="E95" i="1"/>
  <c r="Q95" i="1" l="1"/>
  <c r="J26" i="1" l="1"/>
  <c r="J22" i="1" l="1"/>
  <c r="E26" i="1" l="1"/>
  <c r="Q26" i="1" s="1"/>
  <c r="L200" i="1"/>
  <c r="M200" i="1"/>
  <c r="N200" i="1"/>
  <c r="O200" i="1"/>
  <c r="P200" i="1"/>
  <c r="K200" i="1"/>
  <c r="G200" i="1"/>
  <c r="H200" i="1"/>
  <c r="I200" i="1"/>
  <c r="F200" i="1"/>
  <c r="L198" i="1"/>
  <c r="M198" i="1"/>
  <c r="N198" i="1"/>
  <c r="O198" i="1"/>
  <c r="P198" i="1"/>
  <c r="K198" i="1"/>
  <c r="G198" i="1"/>
  <c r="H198" i="1"/>
  <c r="I198" i="1"/>
  <c r="F198" i="1"/>
  <c r="L126" i="1"/>
  <c r="L125" i="1" s="1"/>
  <c r="M126" i="1"/>
  <c r="M125" i="1" s="1"/>
  <c r="N126" i="1"/>
  <c r="N125" i="1" s="1"/>
  <c r="O126" i="1"/>
  <c r="O125" i="1" s="1"/>
  <c r="P126" i="1"/>
  <c r="P125" i="1" s="1"/>
  <c r="K126" i="1"/>
  <c r="K125" i="1" s="1"/>
  <c r="G126" i="1"/>
  <c r="G125" i="1" s="1"/>
  <c r="H126" i="1"/>
  <c r="H125" i="1" s="1"/>
  <c r="I126" i="1"/>
  <c r="I125" i="1" s="1"/>
  <c r="F126" i="1"/>
  <c r="F125" i="1" s="1"/>
  <c r="J91" i="1"/>
  <c r="L89" i="1"/>
  <c r="L88" i="1" s="1"/>
  <c r="L14" i="1" s="1"/>
  <c r="M89" i="1"/>
  <c r="M88" i="1" s="1"/>
  <c r="M14" i="1" s="1"/>
  <c r="N89" i="1"/>
  <c r="N88" i="1" s="1"/>
  <c r="N14" i="1" s="1"/>
  <c r="O89" i="1"/>
  <c r="O88" i="1" s="1"/>
  <c r="O14" i="1" s="1"/>
  <c r="P89" i="1"/>
  <c r="P88" i="1" s="1"/>
  <c r="P14" i="1" s="1"/>
  <c r="K89" i="1"/>
  <c r="K88" i="1" s="1"/>
  <c r="K14" i="1" s="1"/>
  <c r="G89" i="1"/>
  <c r="G88" i="1" s="1"/>
  <c r="G14" i="1" s="1"/>
  <c r="H89" i="1"/>
  <c r="H88" i="1" s="1"/>
  <c r="H14" i="1" s="1"/>
  <c r="I89" i="1"/>
  <c r="I88" i="1" s="1"/>
  <c r="I14" i="1" s="1"/>
  <c r="F89" i="1"/>
  <c r="F88" i="1" s="1"/>
  <c r="E32" i="1"/>
  <c r="N13" i="1" l="1"/>
  <c r="L124" i="1"/>
  <c r="E22" i="1"/>
  <c r="Q22" i="1" s="1"/>
  <c r="E106" i="1"/>
  <c r="I197" i="1"/>
  <c r="P197" i="1"/>
  <c r="N197" i="1"/>
  <c r="L197" i="1"/>
  <c r="L196" i="1" s="1"/>
  <c r="J32" i="1"/>
  <c r="Q32" i="1" s="1"/>
  <c r="J101" i="1"/>
  <c r="E126" i="1"/>
  <c r="J126" i="1"/>
  <c r="J186" i="1"/>
  <c r="E198" i="1"/>
  <c r="K197" i="1"/>
  <c r="E200" i="1"/>
  <c r="O197" i="1"/>
  <c r="M197" i="1"/>
  <c r="H197" i="1"/>
  <c r="E15" i="1"/>
  <c r="J89" i="1"/>
  <c r="E101" i="1"/>
  <c r="J198" i="1"/>
  <c r="J200" i="1"/>
  <c r="E202" i="1"/>
  <c r="J202" i="1"/>
  <c r="E89" i="1"/>
  <c r="E186" i="1"/>
  <c r="G197" i="1"/>
  <c r="F197" i="1"/>
  <c r="E71" i="1"/>
  <c r="J109" i="1"/>
  <c r="J116" i="1"/>
  <c r="J15" i="1"/>
  <c r="J71" i="1"/>
  <c r="E91" i="1"/>
  <c r="Q91" i="1" s="1"/>
  <c r="J106" i="1"/>
  <c r="E116" i="1"/>
  <c r="Q106" i="1" l="1"/>
  <c r="Q89" i="1"/>
  <c r="Q101" i="1"/>
  <c r="P13" i="1"/>
  <c r="Q186" i="1"/>
  <c r="Q202" i="1"/>
  <c r="Q200" i="1"/>
  <c r="Q198" i="1"/>
  <c r="Q126" i="1"/>
  <c r="O13" i="1"/>
  <c r="Q15" i="1"/>
  <c r="Q116" i="1"/>
  <c r="J197" i="1"/>
  <c r="J88" i="1"/>
  <c r="E88" i="1"/>
  <c r="L13" i="1"/>
  <c r="Q71" i="1"/>
  <c r="M13" i="1"/>
  <c r="P196" i="1"/>
  <c r="O196" i="1"/>
  <c r="N196" i="1"/>
  <c r="K196" i="1"/>
  <c r="I196" i="1"/>
  <c r="H196" i="1"/>
  <c r="G196" i="1"/>
  <c r="F196" i="1"/>
  <c r="J208" i="1"/>
  <c r="J207" i="1"/>
  <c r="J205" i="1"/>
  <c r="J204" i="1"/>
  <c r="J201" i="1"/>
  <c r="E208" i="1"/>
  <c r="E207" i="1"/>
  <c r="E205" i="1"/>
  <c r="E204" i="1"/>
  <c r="E201" i="1"/>
  <c r="J199" i="1"/>
  <c r="J191" i="1"/>
  <c r="J189" i="1"/>
  <c r="E191" i="1"/>
  <c r="E189" i="1"/>
  <c r="J188" i="1"/>
  <c r="E188" i="1"/>
  <c r="J142" i="1"/>
  <c r="E142" i="1"/>
  <c r="J141" i="1"/>
  <c r="E141" i="1"/>
  <c r="J133" i="1"/>
  <c r="E133" i="1"/>
  <c r="J127" i="1"/>
  <c r="E127" i="1"/>
  <c r="K13" i="1"/>
  <c r="H13" i="1"/>
  <c r="G13" i="1"/>
  <c r="J119" i="1"/>
  <c r="J117" i="1" s="1"/>
  <c r="Q117" i="1" s="1"/>
  <c r="J108" i="1"/>
  <c r="J103" i="1"/>
  <c r="J90" i="1"/>
  <c r="J82" i="1"/>
  <c r="J79" i="1"/>
  <c r="J60" i="1"/>
  <c r="J56" i="1"/>
  <c r="J44" i="1"/>
  <c r="J17" i="1"/>
  <c r="J16" i="1"/>
  <c r="E119" i="1"/>
  <c r="E108" i="1"/>
  <c r="E103" i="1"/>
  <c r="E90" i="1"/>
  <c r="E82" i="1"/>
  <c r="E79" i="1"/>
  <c r="E73" i="1"/>
  <c r="E60" i="1"/>
  <c r="E56" i="1"/>
  <c r="E44" i="1"/>
  <c r="E16" i="1"/>
  <c r="L210" i="1" l="1"/>
  <c r="L221" i="1" s="1"/>
  <c r="Q133" i="1"/>
  <c r="Q88" i="1"/>
  <c r="E197" i="1"/>
  <c r="J14" i="1"/>
  <c r="I13" i="1"/>
  <c r="E196" i="1"/>
  <c r="M196" i="1"/>
  <c r="J196" i="1" s="1"/>
  <c r="J13" i="1"/>
  <c r="J130" i="1"/>
  <c r="E130" i="1"/>
  <c r="J135" i="1"/>
  <c r="E135" i="1"/>
  <c r="J134" i="1"/>
  <c r="E134" i="1"/>
  <c r="H124" i="1" l="1"/>
  <c r="K124" i="1"/>
  <c r="N124" i="1"/>
  <c r="M124" i="1"/>
  <c r="Q134" i="1"/>
  <c r="Q135" i="1"/>
  <c r="Q130" i="1"/>
  <c r="E129" i="1"/>
  <c r="O124" i="1"/>
  <c r="J129" i="1"/>
  <c r="J132" i="1"/>
  <c r="P124" i="1"/>
  <c r="Q208" i="1"/>
  <c r="Q207" i="1"/>
  <c r="Q205" i="1"/>
  <c r="Q204" i="1"/>
  <c r="Q201" i="1"/>
  <c r="Q197" i="1"/>
  <c r="Q196" i="1"/>
  <c r="Q191" i="1"/>
  <c r="Q189" i="1"/>
  <c r="Q188" i="1"/>
  <c r="Q142" i="1"/>
  <c r="Q141" i="1"/>
  <c r="Q127" i="1"/>
  <c r="Q119" i="1"/>
  <c r="Q108" i="1"/>
  <c r="Q103" i="1"/>
  <c r="Q90" i="1"/>
  <c r="Q82" i="1"/>
  <c r="Q79" i="1"/>
  <c r="Q73" i="1"/>
  <c r="Q60" i="1"/>
  <c r="Q56" i="1"/>
  <c r="Q44" i="1"/>
  <c r="Q17" i="1"/>
  <c r="Q16" i="1"/>
  <c r="E199" i="1"/>
  <c r="Q199" i="1" s="1"/>
  <c r="P210" i="1" l="1"/>
  <c r="P221" i="1" s="1"/>
  <c r="O210" i="1"/>
  <c r="O221" i="1" s="1"/>
  <c r="K210" i="1"/>
  <c r="K221" i="1" s="1"/>
  <c r="N210" i="1"/>
  <c r="N221" i="1" s="1"/>
  <c r="H210" i="1"/>
  <c r="H221" i="1" s="1"/>
  <c r="J128" i="1"/>
  <c r="G124" i="1"/>
  <c r="Q129" i="1"/>
  <c r="J125" i="1"/>
  <c r="J124" i="1"/>
  <c r="I124" i="1"/>
  <c r="M210" i="1" l="1"/>
  <c r="G210" i="1"/>
  <c r="G221" i="1" s="1"/>
  <c r="E128" i="1"/>
  <c r="Q128" i="1" s="1"/>
  <c r="E132" i="1"/>
  <c r="Q132" i="1" s="1"/>
  <c r="J210" i="1" l="1"/>
  <c r="M221" i="1"/>
  <c r="J221" i="1" s="1"/>
  <c r="I210" i="1"/>
  <c r="I221" i="1" s="1"/>
  <c r="F124" i="1"/>
  <c r="E125" i="1"/>
  <c r="Q125" i="1" s="1"/>
  <c r="E214" i="1" l="1"/>
  <c r="Q214" i="1" s="1"/>
  <c r="E124" i="1"/>
  <c r="Q124" i="1" s="1"/>
  <c r="E211" i="1" l="1"/>
  <c r="Q211" i="1" s="1"/>
  <c r="F210" i="1"/>
  <c r="E210" i="1" l="1"/>
  <c r="Q210" i="1" s="1"/>
  <c r="E113" i="1"/>
  <c r="Q113" i="1" s="1"/>
  <c r="F109" i="1"/>
  <c r="E109" i="1" s="1"/>
  <c r="Q109" i="1" s="1"/>
  <c r="F14" i="1" l="1"/>
  <c r="E14" i="1" s="1"/>
  <c r="Q14" i="1" s="1"/>
  <c r="F13" i="1" l="1"/>
  <c r="E13" i="1" s="1"/>
  <c r="Q13" i="1" s="1"/>
  <c r="F221" i="1" l="1"/>
  <c r="E221" i="1" s="1"/>
  <c r="Q221" i="1" s="1"/>
</calcChain>
</file>

<file path=xl/sharedStrings.xml><?xml version="1.0" encoding="utf-8"?>
<sst xmlns="http://schemas.openxmlformats.org/spreadsheetml/2006/main" count="738" uniqueCount="455">
  <si>
    <t>Додаток 3</t>
  </si>
  <si>
    <t>РОЗПОДІЛ</t>
  </si>
  <si>
    <t>(грн.)</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</si>
  <si>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</si>
  <si>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</si>
  <si>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Загальний фонд</t>
  </si>
  <si>
    <t>видатки споживання</t>
  </si>
  <si>
    <t>з них</t>
  </si>
  <si>
    <t>оплата праці</t>
  </si>
  <si>
    <t>комунальні послуги та енергоносії</t>
  </si>
  <si>
    <t>видатки розвитку</t>
  </si>
  <si>
    <t>Спеціальний фонд</t>
  </si>
  <si>
    <t>0100000</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</si>
  <si>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</si>
  <si>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</si>
  <si>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</si>
  <si>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</si>
  <si>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</si>
  <si>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</si>
  <si>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0133</t>
  </si>
  <si>
    <t>0180</t>
  </si>
  <si>
    <t>Інша діяльність у сфері державного управління</t>
  </si>
  <si>
    <t>0113112</t>
  </si>
  <si>
    <t>1040</t>
  </si>
  <si>
    <t>3112</t>
  </si>
  <si>
    <t>Заходи державної політики з питань дітей та їх соціального захисту</t>
  </si>
  <si>
    <t>0113192</t>
  </si>
  <si>
    <t>1030</t>
  </si>
  <si>
    <t>3192</t>
  </si>
  <si>
    <t>0113242</t>
  </si>
  <si>
    <t>1090</t>
  </si>
  <si>
    <t>3242</t>
  </si>
  <si>
    <t>Інші заходи у сфері соціального захисту і соціального забезпечення</t>
  </si>
  <si>
    <t>0116013</t>
  </si>
  <si>
    <t>0620</t>
  </si>
  <si>
    <t>6013</t>
  </si>
  <si>
    <t>Забезпечення діяльності водопровідно-каналізаційного господарства</t>
  </si>
  <si>
    <t>0116030</t>
  </si>
  <si>
    <t>6030</t>
  </si>
  <si>
    <t>Організація благоустрою населених пунктів</t>
  </si>
  <si>
    <t>0116071</t>
  </si>
  <si>
    <t>0640</t>
  </si>
  <si>
    <t>6071</t>
  </si>
  <si>
    <t>0117130</t>
  </si>
  <si>
    <t>0421</t>
  </si>
  <si>
    <t>7130</t>
  </si>
  <si>
    <t>Здійснення заходів із землеустрою</t>
  </si>
  <si>
    <t>0490</t>
  </si>
  <si>
    <t>0117461</t>
  </si>
  <si>
    <t>0456</t>
  </si>
  <si>
    <t>7461</t>
  </si>
  <si>
    <t>Утримання та розвиток автомобільних доріг та дорожньої інфраструктури за рахунок коштів місцевого бюджету</t>
  </si>
  <si>
    <t>0117670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</si>
  <si>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</si>
  <si>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</si>
  <si>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</si>
  <si>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</si>
  <si>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0118313</t>
  </si>
  <si>
    <t>0513</t>
  </si>
  <si>
    <t>8313</t>
  </si>
  <si>
    <t>Ліквідація іншого забруднення навколишнього природного середовища</t>
  </si>
  <si>
    <t>9110</t>
  </si>
  <si>
    <t>Реверсна дотація </t>
  </si>
  <si>
    <t>Інші субвенції з місцевого бюджету</t>
  </si>
  <si>
    <t>0600000</t>
  </si>
  <si>
    <t>0610000</t>
  </si>
  <si>
    <t>0610160</t>
  </si>
  <si>
    <t>0160</t>
  </si>
  <si>
    <t>0611010</t>
  </si>
  <si>
    <t>0910</t>
  </si>
  <si>
    <t>1010</t>
  </si>
  <si>
    <t>0611020</t>
  </si>
  <si>
    <t>0921</t>
  </si>
  <si>
    <t>1020</t>
  </si>
  <si>
    <t>0960</t>
  </si>
  <si>
    <t>0611150</t>
  </si>
  <si>
    <t>0990</t>
  </si>
  <si>
    <t>Інші програми та заходи у сфері освіти</t>
  </si>
  <si>
    <t>0615011</t>
  </si>
  <si>
    <t>0810</t>
  </si>
  <si>
    <t>5011</t>
  </si>
  <si>
    <t>Проведення навчально-тренувальних зборів і змагань з олімпійських видів спорту</t>
  </si>
  <si>
    <t>0615012</t>
  </si>
  <si>
    <t>5012</t>
  </si>
  <si>
    <t>Проведення навчально-тренувальних зборів і змагань з неолімпійських видів спорту</t>
  </si>
  <si>
    <t>0615031</t>
  </si>
  <si>
    <t>5031</t>
  </si>
  <si>
    <t>1000000</t>
  </si>
  <si>
    <t>Відділ  культури Варвинської селищної ради</t>
  </si>
  <si>
    <t>1010000</t>
  </si>
  <si>
    <t>1010160</t>
  </si>
  <si>
    <t>1014040</t>
  </si>
  <si>
    <t>0824</t>
  </si>
  <si>
    <t>4040</t>
  </si>
  <si>
    <t>Забезпечення діяльності музеїв i виставок</t>
  </si>
  <si>
    <t>1014060</t>
  </si>
  <si>
    <t>0828</t>
  </si>
  <si>
    <t>4060</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</si>
  <si>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</si>
  <si>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</si>
  <si>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</si>
  <si>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</si>
  <si>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</si>
  <si>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</si>
  <si>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</si>
  <si>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X</t>
  </si>
  <si>
    <t>Усього</t>
  </si>
  <si>
    <r>
      <t xml:space="preserve">Надання дошкільної освіти - </t>
    </r>
    <r>
      <rPr>
        <b/>
        <sz val="12"/>
        <color theme="1"/>
        <rFont val="Times New Roman"/>
        <family val="1"/>
        <charset val="204"/>
      </rPr>
      <t>ВСЬОГО</t>
    </r>
  </si>
  <si>
    <t>(код бюджету)</t>
  </si>
  <si>
    <t>Код Функціо-нальної класифікації видатків та кредитування бюджету</t>
  </si>
  <si>
    <t xml:space="preserve">у тому числі: </t>
  </si>
  <si>
    <t>бюджет розвитку</t>
  </si>
  <si>
    <t>з них:видатки за рахунок коштів, що передаються із загального фонду до бюджету розвитку (спеціального фонду)</t>
  </si>
  <si>
    <t>Разом</t>
  </si>
  <si>
    <t>Х</t>
  </si>
  <si>
    <t>0100</t>
  </si>
  <si>
    <t>Державне управління</t>
  </si>
  <si>
    <t>Соціальний захист та соціальне забезпечення</t>
  </si>
  <si>
    <t>Житлово-комунальне господарство</t>
  </si>
  <si>
    <t>Економічна діяльність</t>
  </si>
  <si>
    <t>Сільське, лісове, рибне господарство та мисливство</t>
  </si>
  <si>
    <t>Будівництво та регіональний розвиток</t>
  </si>
  <si>
    <t>Транспорт та транспортна інфраструктура, дорожнє господарство</t>
  </si>
  <si>
    <t>Інша діяльність</t>
  </si>
  <si>
    <t>Охорона навколишнього природного середовища</t>
  </si>
  <si>
    <t>Міжбюджетні трансферти</t>
  </si>
  <si>
    <t>Дотації з місцевого бюджету іншим бюджетам</t>
  </si>
  <si>
    <t>Субвенції з місцевого бюджету іншим місцевим бюджетам на здійснення програм та заходів за рахунок коштів місцевих бюджетів</t>
  </si>
  <si>
    <t>1000</t>
  </si>
  <si>
    <t>Освіта</t>
  </si>
  <si>
    <t>5000</t>
  </si>
  <si>
    <t>Фізична культура і спорт</t>
  </si>
  <si>
    <t>4000</t>
  </si>
  <si>
    <t>Культура і мистецтво</t>
  </si>
  <si>
    <t>Разом видатків</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</si>
  <si>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</si>
  <si>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Охорона здоров'я</t>
  </si>
  <si>
    <t>0763</t>
  </si>
  <si>
    <t>Надання позашкільної освіти закладами позашкільної освіти, заходи із позашкільної роботи з дітьми</t>
  </si>
  <si>
    <t>Методичне забезпечення діяльності закладів освіти</t>
  </si>
  <si>
    <t>0117330</t>
  </si>
  <si>
    <t>0443</t>
  </si>
  <si>
    <t>0118110</t>
  </si>
  <si>
    <t>0320</t>
  </si>
  <si>
    <t>0116083</t>
  </si>
  <si>
    <t>0610</t>
  </si>
  <si>
    <t>Проєктні,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</si>
  <si>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Варвинська селищна рада Прилуцького району Чернігівської області</t>
  </si>
  <si>
    <t>0112010</t>
  </si>
  <si>
    <t>2010</t>
  </si>
  <si>
    <t>0731</t>
  </si>
  <si>
    <t>Багатопрофільна стаціонарна медична допомога населенню</t>
  </si>
  <si>
    <t>0112110</t>
  </si>
  <si>
    <t>Первинна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</si>
  <si>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</si>
  <si>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</si>
  <si>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</si>
  <si>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</si>
  <si>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0112140</t>
  </si>
  <si>
    <t>Програми і централізовані заходи у галузі охорони здоров'я</t>
  </si>
  <si>
    <t>0112142</t>
  </si>
  <si>
    <t>2142</t>
  </si>
  <si>
    <t>0113110</t>
  </si>
  <si>
    <t>Заклади і заходи з питань дітей та їх соціального захисту</t>
  </si>
  <si>
    <t>0113030</t>
  </si>
  <si>
    <t>0113032</t>
  </si>
  <si>
    <t>3032</t>
  </si>
  <si>
    <t>1070</t>
  </si>
  <si>
    <t>Надання пільг окремим категоріям громадян з оплати послуг зв'язку</t>
  </si>
  <si>
    <t>0113050</t>
  </si>
  <si>
    <t>3050</t>
  </si>
  <si>
    <t>0113090</t>
  </si>
  <si>
    <t>3090</t>
  </si>
  <si>
    <r>
      <t>Пільгове медичне обслуговування осіб, які постраждали внаслідок Чорнобильської катастрофи -</t>
    </r>
    <r>
      <rPr>
        <b/>
        <sz val="12"/>
        <color theme="1"/>
        <rFont val="Times New Roman"/>
        <family val="1"/>
        <charset val="204"/>
      </rPr>
      <t xml:space="preserve"> інші субвенції з обласного бюджету</t>
    </r>
  </si>
  <si>
    <r>
      <t xml:space="preserve">Витрати на поховання учасників бойових дій та інвалідів війни - </t>
    </r>
    <r>
      <rPr>
        <b/>
        <sz val="12"/>
        <color theme="1"/>
        <rFont val="Times New Roman"/>
        <family val="1"/>
        <charset val="204"/>
      </rPr>
      <t>інші субвенції з обласного бюджету</t>
    </r>
  </si>
  <si>
    <t>0113100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</si>
  <si>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</si>
  <si>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0113104</t>
  </si>
  <si>
    <t>3104</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</si>
  <si>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</si>
  <si>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</si>
  <si>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потебують сторонньої допомоги</t>
  </si>
  <si>
    <t>0113180</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</si>
  <si>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</si>
  <si>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</si>
  <si>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</si>
  <si>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0113190</t>
  </si>
  <si>
    <t>Соціальний захист ветеранів війни та праці</t>
  </si>
  <si>
    <t>0113240</t>
  </si>
  <si>
    <t>Інші заклади та заходи</t>
  </si>
  <si>
    <t>Здійснення соціальної роботи з вразливими категоріями населення</t>
  </si>
  <si>
    <t>0113120</t>
  </si>
  <si>
    <t>0113121</t>
  </si>
  <si>
    <t>0113122</t>
  </si>
  <si>
    <t>Заходи державної політики із забезпечення рівних прав та можливостей жінок та чоловіків</t>
  </si>
  <si>
    <t>0113123</t>
  </si>
  <si>
    <t>Заходи державної політики з питань сім'ї</t>
  </si>
  <si>
    <t>0113130</t>
  </si>
  <si>
    <t>3130</t>
  </si>
  <si>
    <t>Реалізація державної політики у молодіжній сфері</t>
  </si>
  <si>
    <t>0113131</t>
  </si>
  <si>
    <t>Здійснення заходів та реалізація проєктів на виконання Державної цільової соціальної програми "Молодь України"</t>
  </si>
  <si>
    <t>0116010</t>
  </si>
  <si>
    <t>Утримання та ефективна експлуатація об'єктів житлово-комунального господарства</t>
  </si>
  <si>
    <t>0116070</t>
  </si>
  <si>
    <t>Регулювання цін/тарифів на житлово-комунальні послуги</t>
  </si>
  <si>
    <t>0116080</t>
  </si>
  <si>
    <t>6080</t>
  </si>
  <si>
    <t>Реалізація державних та місцевих житлових програм</t>
  </si>
  <si>
    <t>6083</t>
  </si>
  <si>
    <t>0117360</t>
  </si>
  <si>
    <t>0117460</t>
  </si>
  <si>
    <t xml:space="preserve">Утримання та розвиток автомобільних доріг та дорожньої інфраструктури </t>
  </si>
  <si>
    <t>0118310</t>
  </si>
  <si>
    <t>Запобігання та ліквідація забруднення навколишнього природного середовища</t>
  </si>
  <si>
    <t>0118130</t>
  </si>
  <si>
    <t>0116020</t>
  </si>
  <si>
    <t>Забезпечення функціонування підприємств, установ та організацій, що виробляють, виконують та/або надають житлово-комунальні послуги</t>
  </si>
  <si>
    <t>Інші програми, заклади та заходи у сфері освіти</t>
  </si>
  <si>
    <t>0615010</t>
  </si>
  <si>
    <t>Проведення спортивної роботи в регіоні</t>
  </si>
  <si>
    <t>0615030</t>
  </si>
  <si>
    <t>Розвиток дитячо-юнацького та резервного спорту</t>
  </si>
  <si>
    <t>1014030</t>
  </si>
  <si>
    <t>Забезпечення діяльності бібліотек</t>
  </si>
  <si>
    <t>1014080</t>
  </si>
  <si>
    <t>Інші заклади та заходи в галузі культури і мистецтва</t>
  </si>
  <si>
    <t>Фінансовий відділ Варвинської селищної ради</t>
  </si>
  <si>
    <t>3719110</t>
  </si>
  <si>
    <r>
      <t xml:space="preserve">Забезпечення соціальними послугами за місцем проживання громадян, які не здатні до самообслуговування у зв'язку з похилим віком, хворобою, інвалідністю - </t>
    </r>
    <r>
      <rPr>
        <b/>
        <i/>
        <sz val="12"/>
        <color theme="1"/>
        <rFont val="Times New Roman"/>
        <family val="1"/>
        <charset val="204"/>
      </rPr>
      <t>територіальний центр соціального обслуговування</t>
    </r>
  </si>
  <si>
    <r>
      <t>Забезпечення соціальними послугами за місцем проживання громадян, які не здатні до самообслуговування у зв'язку з похилим віком, хворобою, інвалідністю -</t>
    </r>
    <r>
      <rPr>
        <b/>
        <i/>
        <sz val="12"/>
        <color theme="1"/>
        <rFont val="Times New Roman"/>
        <family val="1"/>
        <charset val="204"/>
      </rPr>
      <t xml:space="preserve"> Разом</t>
    </r>
  </si>
  <si>
    <r>
      <t>Надання дошкільної освіти-</t>
    </r>
    <r>
      <rPr>
        <b/>
        <i/>
        <sz val="12"/>
        <color theme="1"/>
        <rFont val="Times New Roman"/>
        <family val="1"/>
        <charset val="204"/>
      </rPr>
      <t>Кошти бюджету громади</t>
    </r>
  </si>
  <si>
    <r>
      <t xml:space="preserve">Забезпечення діяльності інших закладів у сфері освіти - </t>
    </r>
    <r>
      <rPr>
        <b/>
        <i/>
        <sz val="12"/>
        <color theme="1"/>
        <rFont val="Times New Roman"/>
        <family val="1"/>
        <charset val="204"/>
      </rPr>
      <t>Разом</t>
    </r>
  </si>
  <si>
    <r>
      <t xml:space="preserve">Забезпечення діяльності інших закладів у сфері освіти - </t>
    </r>
    <r>
      <rPr>
        <b/>
        <i/>
        <sz val="12"/>
        <color theme="1"/>
        <rFont val="Times New Roman"/>
        <family val="1"/>
        <charset val="204"/>
      </rPr>
      <t>Централізована бухгалтерія</t>
    </r>
  </si>
  <si>
    <r>
      <t xml:space="preserve">Забезпечення діяльності інших закладів у сфері освіти - </t>
    </r>
    <r>
      <rPr>
        <b/>
        <i/>
        <sz val="12"/>
        <color theme="1"/>
        <rFont val="Times New Roman"/>
        <family val="1"/>
        <charset val="204"/>
      </rPr>
      <t>Міжшкільний навчально-виробничий комбінат</t>
    </r>
  </si>
  <si>
    <t>0611021</t>
  </si>
  <si>
    <t>Надання загальної середньої освіти за рахунок коштів місцевого бюджету</t>
  </si>
  <si>
    <r>
      <t xml:space="preserve">Надання загальної середньої освіти закладами загальної середньої освіти - </t>
    </r>
    <r>
      <rPr>
        <b/>
        <i/>
        <sz val="12"/>
        <color theme="1"/>
        <rFont val="Times New Roman"/>
        <family val="1"/>
        <charset val="204"/>
      </rPr>
      <t>Дотація з обласного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r>
  </si>
  <si>
    <t>0611030</t>
  </si>
  <si>
    <t>Надання загальної середньої освіти за рахунок освітньої субвенції</t>
  </si>
  <si>
    <t>0611031</t>
  </si>
  <si>
    <t>0611070</t>
  </si>
  <si>
    <t>1011080</t>
  </si>
  <si>
    <t>0611130</t>
  </si>
  <si>
    <t>Забезпечення діяльності інклюзивно-ресурсних центрів</t>
  </si>
  <si>
    <t>0611151</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</si>
  <si>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</si>
  <si>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</si>
  <si>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0611152</t>
  </si>
  <si>
    <t>0611140</t>
  </si>
  <si>
    <t>0611141</t>
  </si>
  <si>
    <t>0611142</t>
  </si>
  <si>
    <t>0617321</t>
  </si>
  <si>
    <t>7300</t>
  </si>
  <si>
    <t>0617320</t>
  </si>
  <si>
    <t>Будівництво об'єктів соціально-культурного призначення</t>
  </si>
  <si>
    <t>0117320</t>
  </si>
  <si>
    <t>0117322</t>
  </si>
  <si>
    <t>Будівництво медичних установ та закладів</t>
  </si>
  <si>
    <t>Програми і централізовані заходи боротьби з туберкульозом</t>
  </si>
  <si>
    <t>Надання фінансової підтримки громадським об'єднанням ветеранів і осіб з інвалідністю, діяльність яких має соціальну спрямованість</t>
  </si>
  <si>
    <t>Заходи із запобігання та ліквідації надзвичайних ситуацій та наслідків стихійного лиха</t>
  </si>
  <si>
    <t>0118420</t>
  </si>
  <si>
    <t>0114060</t>
  </si>
  <si>
    <t>Забезпечення діяльності палаців і будинків культури, клубів, центрів дозвілля та інших клубних закладів</t>
  </si>
  <si>
    <t>0611153</t>
  </si>
  <si>
    <t>Забезпечення діяльності інклюзивно-ресурсних центрів за рахунок залишку коштів за освітньою субвенцією, що мають цільве призначення, виділених відповідно до рішення Кабінету Міністрів України у попередньому бюджетнолму періоді</t>
  </si>
  <si>
    <t>0611210</t>
  </si>
  <si>
    <t>0611060</t>
  </si>
  <si>
    <t>0611061</t>
  </si>
  <si>
    <t>1061</t>
  </si>
  <si>
    <t>Надання загальної середньої освіти закладами загальної середньої освіти</t>
  </si>
  <si>
    <t>0611160</t>
  </si>
  <si>
    <t>Забезпечення діяльності центрів професійного розвитку педагогічних працівників</t>
  </si>
  <si>
    <t>0111010</t>
  </si>
  <si>
    <t>Надання дошкільної освіти</t>
  </si>
  <si>
    <t>0111020</t>
  </si>
  <si>
    <t>0111021</t>
  </si>
  <si>
    <t>1021</t>
  </si>
  <si>
    <t>0611200</t>
  </si>
  <si>
    <t>0115010</t>
  </si>
  <si>
    <t>0115011</t>
  </si>
  <si>
    <t>0115012</t>
  </si>
  <si>
    <t>0117363</t>
  </si>
  <si>
    <t>Виконання інвестиційних проєктів в рамках здійснення заходів щодо соціально-економічного розвитку окремих територій</t>
  </si>
  <si>
    <t>Відділ освіти Варвинської селищної ради</t>
  </si>
  <si>
    <t>0116040</t>
  </si>
  <si>
    <t>Заходи, пов'язані з поліпшенням питної води</t>
  </si>
  <si>
    <t>0113210</t>
  </si>
  <si>
    <t>Організація та проведення громадських робіт</t>
  </si>
  <si>
    <t>0611154</t>
  </si>
  <si>
    <t>0113124</t>
  </si>
  <si>
    <t>0116014</t>
  </si>
  <si>
    <t>6014</t>
  </si>
  <si>
    <t>Забезпечення збору та вивезення сміття і відходів</t>
  </si>
  <si>
    <t>0611180</t>
  </si>
  <si>
    <t>0611181</t>
  </si>
  <si>
    <t xml:space="preserve">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 </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</si>
  <si>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</si>
  <si>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</si>
  <si>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Зв'язок, телекомунікації та інформатика</t>
  </si>
  <si>
    <t>0117540</t>
  </si>
  <si>
    <t>0460</t>
  </si>
  <si>
    <t>Реалізація заходів, спрямованих на підвищення доступності широкосмугового доступу до Інтернету в сільській місцевості</t>
  </si>
  <si>
    <r>
      <t xml:space="preserve">Будівництво освітніх установ та закладів - </t>
    </r>
    <r>
      <rPr>
        <b/>
        <i/>
        <sz val="12"/>
        <color theme="1"/>
        <rFont val="Times New Roman"/>
        <family val="1"/>
        <charset val="204"/>
      </rPr>
      <t>Субвенція з державного бюджету місцевим бюджетам на реалізацію програми "Спроможна школа для кращих результатів"</t>
    </r>
  </si>
  <si>
    <t>0611170</t>
  </si>
  <si>
    <t>Виконання заходів в рамках реалізації програми "Спроможна школа для кращих результатів"</t>
  </si>
  <si>
    <t>0611171</t>
  </si>
  <si>
    <t xml:space="preserve">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 </t>
  </si>
  <si>
    <t>0611172</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</si>
  <si>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</si>
  <si>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 xml:space="preserve">Будівництво освітніх установ та закладів </t>
  </si>
  <si>
    <r>
      <t xml:space="preserve">Надання загальної середньої освіти закладами загальної середньої освіти - </t>
    </r>
    <r>
      <rPr>
        <b/>
        <i/>
        <sz val="12"/>
        <color theme="1"/>
        <rFont val="Times New Roman"/>
        <family val="1"/>
        <charset val="204"/>
      </rPr>
      <t xml:space="preserve">Інша субвенція з обласного бюджету на виконання доручень виборців депутатами обласної ради </t>
    </r>
  </si>
  <si>
    <t>Громадський порядок та безпека</t>
  </si>
  <si>
    <t>0118240</t>
  </si>
  <si>
    <t>0380</t>
  </si>
  <si>
    <t>Заходи та роботи з територіальної оборони</t>
  </si>
  <si>
    <t>0116090</t>
  </si>
  <si>
    <t>6090</t>
  </si>
  <si>
    <t>0116082</t>
  </si>
  <si>
    <t>6082</t>
  </si>
  <si>
    <t>Придбання житла для окремих категорій населення відповідно до законодавства</t>
  </si>
  <si>
    <t>0118330</t>
  </si>
  <si>
    <t>Інша діяльність у сфері екології та охорони природних ресурсів</t>
  </si>
  <si>
    <t>0540</t>
  </si>
  <si>
    <t>Субвенція з місцевого бюджету державному бюджету на виконання програм соціально-економічного розвитку регіонів</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</si>
  <si>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</si>
  <si>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Видатки на поховання учасників бойових дій та осіб з інвалідністю внаслідок війни</t>
  </si>
  <si>
    <t>0117310</t>
  </si>
  <si>
    <t>Будівництво об'єктів житлово-комунального господарства</t>
  </si>
  <si>
    <t>0118220</t>
  </si>
  <si>
    <t>Заходи та роботи з мобілізаційної підготовки місцевого значення</t>
  </si>
  <si>
    <r>
      <t>Надання загальної середньої освіти закладами загальної середньої освіти за рахунок коштів місцевого бюджету</t>
    </r>
    <r>
      <rPr>
        <b/>
        <i/>
        <sz val="12"/>
        <color theme="1"/>
        <rFont val="Times New Roman"/>
        <family val="1"/>
        <charset val="204"/>
      </rPr>
      <t xml:space="preserve"> </t>
    </r>
  </si>
  <si>
    <t xml:space="preserve">Надання загальної середньої освіти закладами загальної середньої освіти за рахунок освітньої субвенції </t>
  </si>
  <si>
    <t>0113031</t>
  </si>
  <si>
    <t>3031</t>
  </si>
  <si>
    <t>Надання інших пільг окремим категоріям громадян відповідно до законодавства</t>
  </si>
  <si>
    <r>
      <t xml:space="preserve">Забезпечення діяльності інших закладів у сфері освіти - </t>
    </r>
    <r>
      <rPr>
        <b/>
        <i/>
        <sz val="12"/>
        <color theme="1"/>
        <rFont val="Times New Roman"/>
        <family val="1"/>
        <charset val="204"/>
      </rPr>
      <t>Група централізованого господарського обслуговування</t>
    </r>
  </si>
  <si>
    <t>0115049</t>
  </si>
  <si>
    <t>5049</t>
  </si>
  <si>
    <t>0118312</t>
  </si>
  <si>
    <t>8312</t>
  </si>
  <si>
    <t>0512</t>
  </si>
  <si>
    <t>0611260</t>
  </si>
  <si>
    <t>Виконання заходів щодо облаштування безпечних умов у закладах загальної середньої освіти</t>
  </si>
  <si>
    <t>0611261</t>
  </si>
  <si>
    <t>0611262</t>
  </si>
  <si>
    <t>Співфінансування заходів, що реалізуються за рахунок субвенції з державного бюджету місцевим бюджетам на облаштування безпечних умов у закладах загальної середньої освіти</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</si>
  <si>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</si>
  <si>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0117380</t>
  </si>
  <si>
    <t>0117384</t>
  </si>
  <si>
    <t>Реалізація проєктів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</si>
  <si>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</si>
  <si>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</si>
  <si>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</si>
  <si>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 xml:space="preserve">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t>
  </si>
  <si>
    <t>0611272</t>
  </si>
  <si>
    <t>Реалізація заходів за рахунок освітньої субвенції з державного бюджету місцевим бюджетам (за спеціальним фондом державного бюджету)</t>
  </si>
  <si>
    <r>
      <t xml:space="preserve">Забезпечення соціальними послугами за місцем проживання громадян, які не здатні до самообслуговування у зв'язку з похилим віком, хворобою, інвалідністю - </t>
    </r>
    <r>
      <rPr>
        <b/>
        <i/>
        <sz val="12"/>
        <color theme="1"/>
        <rFont val="Times New Roman"/>
        <family val="1"/>
        <charset val="204"/>
      </rPr>
      <t>стаціонарне відділення (с. Озеряни)</t>
    </r>
  </si>
  <si>
    <t xml:space="preserve">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закладх загальної середньої освіти) </t>
  </si>
  <si>
    <t xml:space="preserve">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 </t>
  </si>
  <si>
    <t>0611290</t>
  </si>
  <si>
    <t>0611291</t>
  </si>
  <si>
    <t>0611292</t>
  </si>
  <si>
    <t xml:space="preserve">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рішення Кабінету Міністрів України у попередніх бюджетних періодах (за спеціальним фондом державного бюджету) </t>
  </si>
  <si>
    <t>0611240</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</si>
  <si>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</si>
  <si>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0611241</t>
  </si>
  <si>
    <t>0611242</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</si>
  <si>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</si>
  <si>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Інша діяльність у сфері житлово-комунального господарства</t>
  </si>
  <si>
    <t>Виконання інвестиційних проєктів</t>
  </si>
  <si>
    <t xml:space="preserve">Виконання інвестиційних проєктів за рахунок інших субвенцій з державного бюджету </t>
  </si>
  <si>
    <t>0117350</t>
  </si>
  <si>
    <t>Розроблення схем планування та забудови територій (містобудівної документації)</t>
  </si>
  <si>
    <t>0118320</t>
  </si>
  <si>
    <t>0520</t>
  </si>
  <si>
    <t xml:space="preserve">Збереження природно-заповідного фонду </t>
  </si>
  <si>
    <t>0611403</t>
  </si>
  <si>
    <t>Забезпечення харчування учнів початкових класів закладів загальної середньої освіти за рахунок субвенції з державного бюджету місцевим бюджетам</t>
  </si>
  <si>
    <t>Забезпечення діяльності місцевої та добровільної пожежної охорони</t>
  </si>
  <si>
    <t>0113193</t>
  </si>
  <si>
    <t>0611300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</si>
  <si>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</si>
  <si>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Виконання заходів, спрямованих на забезпечення якісної, сучасної та доступної загальної середньої освіти "Нова українська школа"</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</si>
  <si>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</si>
  <si>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Забезпечення діяльності палаців i будинків культури, клубів, центрів дозвілля та інших клубних закладів</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</si>
  <si>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</si>
  <si>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</si>
  <si>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'Проведення (надання) додаткових психолого-педагогічних і корекційно-розвиткових занять (послуг)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</si>
  <si>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військо-фізичною підготовкою</t>
  </si>
  <si>
    <t>Виконання заходів щодо реалізації піблічного інвестиційного проекту на придбання обладнання, створення та модернізації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військо-фізичною підготовкою, за рахунок субвенції з державного бюджету місцевим бюджетам</t>
  </si>
  <si>
    <t>Розвиток здібностей у дітей та молоді з фізичної культури та спорту комунальними дитячо-юнацькими спортивними школами</t>
  </si>
  <si>
    <t>0611700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</si>
  <si>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</si>
  <si>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</si>
  <si>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Секретар селищної ради</t>
  </si>
  <si>
    <t>Микола ГАЙДАЙ</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</si>
  <si>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</si>
  <si>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</si>
  <si>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0611183</t>
  </si>
  <si>
    <t>0611184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</si>
  <si>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</si>
  <si>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0112150</t>
  </si>
  <si>
    <t>Інші програми, заклади та заходи у сфері охорони здоров'я</t>
  </si>
  <si>
    <t>0112152</t>
  </si>
  <si>
    <t>2152</t>
  </si>
  <si>
    <t xml:space="preserve">Інші програми та заходи у сфері охорони здоров'я </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</si>
  <si>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</si>
  <si>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0611274</t>
  </si>
  <si>
    <t>0115050</t>
  </si>
  <si>
    <t>Підтримка фізкультурно-спортивного руху</t>
  </si>
  <si>
    <t>0115051</t>
  </si>
  <si>
    <t>5051</t>
  </si>
  <si>
    <t xml:space="preserve">Фінансова підтримка регіональних всеукраїнських об'єднань фізкультурно-спортивної спрямованості длч проведення навчально-тренувальної та спортивної роботи </t>
  </si>
  <si>
    <t>0115040</t>
  </si>
  <si>
    <t>Підтримка і розвиток спортивної інфраструктури</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</si>
  <si>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</si>
  <si>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</si>
  <si>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Оброблення (відновлення,  у тому числі сортування, та видалення) відходів</t>
  </si>
  <si>
    <t>0611500</t>
  </si>
  <si>
    <t>0611501</t>
  </si>
  <si>
    <t>Виконання заходів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</si>
  <si>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</si>
  <si>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Виконання заходів за рахунок субвенції з державного бюджету місцевим бюджетам на покращенні якості гарячого харчування та фінансування харчування учнів початкових класів закладів загальної середньої освіти</t>
  </si>
  <si>
    <t>0611702</t>
  </si>
  <si>
    <t>Забезпечення харчування учнів закладів загальної середньої освіти за рахунок субвенції з державного бюджету місцевим бюджетам</t>
  </si>
  <si>
    <t>видатків бюджету Варвинської селищної територіальної громади на 2026 рік</t>
  </si>
  <si>
    <t>0112170</t>
  </si>
  <si>
    <t>0112175</t>
  </si>
  <si>
    <t>2175</t>
  </si>
  <si>
    <t>0116091</t>
  </si>
  <si>
    <t>Підготовка та реалізація публічних інвестиційних проєктів/програм публічних інвестицій за рахунок коштів місцевого бюджету в галузі житлово-комунального господарства</t>
  </si>
  <si>
    <t>6091</t>
  </si>
  <si>
    <t>Підготовка та реалізація публічних інвестиційних проєктів/програм публічних інвестицій за рахунок коштів місцевого бюджету в галузі освіти</t>
  </si>
  <si>
    <t>1014083</t>
  </si>
  <si>
    <t>Підготовка та реалізація публічних інвестиційних проєктів/програм публічних інвестицій за рахунок коштів місцевого бюджету в галузі культури і мистецтва</t>
  </si>
  <si>
    <t>Підготовка та реалізація публічних інвестиційних проєктів/програм публічних інвестицій у галузі охорони здоров'я</t>
  </si>
  <si>
    <t xml:space="preserve">Підготовка та реалізація публічних інвестиційних проєктів/програм публічних інвестицій за рахунок коштів місцевого бюджету в галузі охорони здоров'я </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</si>
  <si>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</si>
  <si>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r>
      <t xml:space="preserve">Виконання окремих заходів з реалізації соціального проєкту "Активні парки - локації здорової України </t>
    </r>
    <r>
      <rPr>
        <b/>
        <i/>
        <sz val="12"/>
        <color theme="1"/>
        <rFont val="Times New Roman"/>
        <family val="1"/>
        <charset val="204"/>
      </rPr>
      <t>(субвенція з ДБ)</t>
    </r>
  </si>
  <si>
    <t>Регіональний розвиток та інші інвестиційні проєкти</t>
  </si>
  <si>
    <t>Підготовка та реалізація піублічних інвестиційних проєктів/ програм публічних інвестицій за рахунок коштів місцевого бюджету в інших секторах економічної діяльності</t>
  </si>
  <si>
    <t>Інші програми та заходи, пов'язані з економічною діяльністю</t>
  </si>
  <si>
    <t xml:space="preserve">Захист населення і територій від надзвичайних ситуацій </t>
  </si>
  <si>
    <t>Медіа (засоби масової інформації)</t>
  </si>
  <si>
    <t>Інші заходи у сфері медіа (засобів масової інформації)</t>
  </si>
  <si>
    <t>Керівництво і управління у відповідній сфері у містах (місті Києві), селищах, селах, територіальних громадах</t>
  </si>
  <si>
    <t>Виконання заходів, спрямованих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</si>
  <si>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</si>
  <si>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Надання спеціалізованої освіти мистецькими школами</t>
  </si>
  <si>
    <t>Керівництво і управління у відповідній сфері у містах (місті Києві), селищах, селах,  територіальних громадах</t>
  </si>
  <si>
    <r>
      <t xml:space="preserve">Надання дошкільної освіти - </t>
    </r>
    <r>
      <rPr>
        <b/>
        <i/>
        <sz val="12"/>
        <color theme="1"/>
        <rFont val="Times New Roman"/>
        <family val="1"/>
        <charset val="204"/>
      </rPr>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r>
  </si>
  <si>
    <t xml:space="preserve">Субвенції з місцевого бюджету на виконання інвестиційних проєктів </t>
  </si>
  <si>
    <t>до рішення 84 сесії восьмого скликання Варвинської селищної ради від  21 травня 2026 року №  ____ "Про внесення змін до рішення  79 сесії восьмого скликання Варвинської селищної ради від 18 грудня 2025 року № 390 "Про бюджет Варвинської селищної територіальної громади на 2026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</si>
</sst>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7" x14ac:knownFonts="1">
    <font>
      <sz val="10"/>
      <color theme="1"/>
      <name val="Calibri"/>
      <family val="2"/>
      <charset val="204"/>
      <scheme val="minor"/>
    </font>
    <font>
      <b/>
      <sz val="10"/>
      <color theme="1"/>
      <name val="Calibri"/>
      <family val="2"/>
      <charset val="204"/>
      <scheme val="minor"/>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b/>
      <u/>
      <sz val="12"/>
      <color theme="1"/>
      <name val="Times New Roman"/>
      <family val="1"/>
      <charset val="204"/>
    </font>
    <font>
      <u/>
      <sz val="12"/>
      <color theme="1"/>
      <name val="Times New Roman"/>
      <family val="1"/>
      <charset val="204"/>
    </font>
    <font>
      <u/>
      <sz val="10"/>
      <color theme="1"/>
      <name val="Calibri"/>
      <family val="2"/>
      <charset val="204"/>
      <scheme val="minor"/>
    </font>
    <font>
      <sz val="9"/>
      <color theme="1"/>
      <name val="Times New Roman"/>
      <family val="1"/>
      <charset val="204"/>
    </font>
    <font>
      <sz val="10"/>
      <color theme="1"/>
      <name val="Times New Roman"/>
      <family val="1"/>
      <charset val="204"/>
    </font>
    <font>
      <i/>
      <sz val="7"/>
      <color theme="1"/>
      <name val="Times New Roman"/>
      <family val="1"/>
      <charset val="204"/>
    </font>
    <font>
      <sz val="10"/>
      <name val="Arial"/>
      <family val="2"/>
    </font>
    <font>
      <sz val="12"/>
      <name val="Times New Roman"/>
      <family val="1"/>
      <charset val="204"/>
    </font>
    <font>
      <sz val="10"/>
      <color indexed="8"/>
      <name val="MS Sans Serif"/>
      <family val="2"/>
      <charset val="204"/>
    </font>
    <font>
      <sz val="10"/>
      <name val="Arial Cyr"/>
      <charset val="204"/>
    </font>
    <font>
      <i/>
      <sz val="10"/>
      <color theme="1"/>
      <name val="Calibri"/>
      <family val="2"/>
      <charset val="204"/>
      <scheme val="minor"/>
    </font>
  </fonts>
  <fills count="6">
    <fill>
      <patternFill patternType="none"/>
    </fill>
    <fill>
      <patternFill patternType="gray125"/>
    </fill>
    <fill>
      <patternFill patternType="solid">
        <fgColor indexed="4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C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2" fillId="0" borderId="0"/>
    <xf numFmtId="0" fontId="14" fillId="0" borderId="0"/>
    <xf numFmtId="0" fontId="15" fillId="0" borderId="0"/>
  </cellStyleXfs>
  <cellXfs count="67">
    <xf numFmtId="0" fontId="0" fillId="0" borderId="0" xfId="0"/>
    <xf numFmtId="0" fontId="1" fillId="0" borderId="0" xfId="0" applyFont="1" applyAlignment="1">
      <alignment horizontal="left"/>
    </xf>
    <xf numFmtId="0" fontId="2" fillId="0" borderId="0" xfId="0" applyFont="1"/>
    <xf numFmtId="0" fontId="2" fillId="0" borderId="0" xfId="0" applyFont="1" applyAlignment="1">
      <alignment horizontal="right"/>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quotePrefix="1" applyNumberFormat="1" applyFont="1" applyBorder="1" applyAlignment="1">
      <alignment vertical="center" wrapText="1"/>
    </xf>
    <xf numFmtId="2" fontId="3" fillId="2" borderId="1" xfId="0" applyNumberFormat="1" applyFont="1" applyFill="1" applyBorder="1" applyAlignment="1">
      <alignment vertical="center" wrapText="1"/>
    </xf>
    <xf numFmtId="2" fontId="3" fillId="0" borderId="1" xfId="0" applyNumberFormat="1" applyFont="1" applyBorder="1" applyAlignment="1">
      <alignment vertical="center" wrapText="1"/>
    </xf>
    <xf numFmtId="0" fontId="2" fillId="0" borderId="1" xfId="0" quotePrefix="1" applyFont="1" applyBorder="1" applyAlignment="1">
      <alignment horizontal="center" vertical="center" wrapText="1"/>
    </xf>
    <xf numFmtId="2" fontId="2" fillId="0" borderId="1" xfId="0" quotePrefix="1" applyNumberFormat="1" applyFont="1" applyBorder="1" applyAlignment="1">
      <alignment horizontal="center" vertical="center" wrapText="1"/>
    </xf>
    <xf numFmtId="2" fontId="2" fillId="0" borderId="1" xfId="0" quotePrefix="1" applyNumberFormat="1" applyFont="1" applyBorder="1" applyAlignment="1">
      <alignment vertical="center" wrapText="1"/>
    </xf>
    <xf numFmtId="2" fontId="2" fillId="2" borderId="1" xfId="0" applyNumberFormat="1" applyFont="1" applyFill="1" applyBorder="1" applyAlignment="1">
      <alignment vertical="center" wrapText="1"/>
    </xf>
    <xf numFmtId="2" fontId="2" fillId="0" borderId="1" xfId="0" applyNumberFormat="1" applyFont="1" applyBorder="1" applyAlignment="1">
      <alignment vertical="center" wrapText="1"/>
    </xf>
    <xf numFmtId="0" fontId="4" fillId="0" borderId="1" xfId="0" quotePrefix="1" applyFont="1" applyBorder="1" applyAlignment="1">
      <alignment horizontal="center" vertical="center" wrapText="1"/>
    </xf>
    <xf numFmtId="2" fontId="4" fillId="0" borderId="1" xfId="0" quotePrefix="1" applyNumberFormat="1" applyFont="1" applyBorder="1" applyAlignment="1">
      <alignment horizontal="center" vertical="center" wrapText="1"/>
    </xf>
    <xf numFmtId="2" fontId="4" fillId="0" borderId="1" xfId="0" quotePrefix="1" applyNumberFormat="1" applyFont="1" applyBorder="1" applyAlignment="1">
      <alignment vertical="center" wrapText="1"/>
    </xf>
    <xf numFmtId="2" fontId="4" fillId="2" borderId="1" xfId="0" applyNumberFormat="1" applyFont="1" applyFill="1" applyBorder="1" applyAlignment="1">
      <alignment vertical="center" wrapText="1"/>
    </xf>
    <xf numFmtId="2" fontId="4" fillId="0" borderId="1" xfId="0" applyNumberFormat="1" applyFont="1" applyBorder="1" applyAlignment="1">
      <alignment vertical="center" wrapText="1"/>
    </xf>
    <xf numFmtId="0" fontId="3" fillId="0" borderId="0" xfId="0" applyFont="1" applyAlignment="1">
      <alignment vertical="center"/>
    </xf>
    <xf numFmtId="0" fontId="3" fillId="0" borderId="0" xfId="0" applyFont="1"/>
    <xf numFmtId="0" fontId="2" fillId="0" borderId="1" xfId="0" applyFont="1" applyBorder="1" applyAlignment="1">
      <alignment horizontal="center" vertical="center" wrapText="1"/>
    </xf>
    <xf numFmtId="0" fontId="7" fillId="0" borderId="0" xfId="0" applyFont="1" applyAlignment="1">
      <alignment horizontal="center"/>
    </xf>
    <xf numFmtId="0" fontId="8" fillId="0" borderId="0" xfId="0" applyFont="1"/>
    <xf numFmtId="0" fontId="9" fillId="0" borderId="0" xfId="0" applyFont="1" applyAlignment="1">
      <alignment horizontal="left" vertical="top"/>
    </xf>
    <xf numFmtId="49" fontId="3" fillId="0" borderId="1" xfId="0" applyNumberFormat="1" applyFont="1" applyBorder="1" applyAlignment="1">
      <alignment horizontal="center" vertical="center" wrapText="1"/>
    </xf>
    <xf numFmtId="2" fontId="3" fillId="0" borderId="1" xfId="0" quotePrefix="1" applyNumberFormat="1" applyFont="1" applyBorder="1" applyAlignment="1">
      <alignment horizontal="center" vertical="center" wrapText="1"/>
    </xf>
    <xf numFmtId="0" fontId="1" fillId="0" borderId="0" xfId="0" applyFont="1"/>
    <xf numFmtId="0" fontId="3" fillId="3" borderId="1" xfId="0" quotePrefix="1" applyFont="1" applyFill="1" applyBorder="1" applyAlignment="1">
      <alignment horizontal="center" vertical="center" wrapText="1"/>
    </xf>
    <xf numFmtId="0" fontId="3" fillId="3"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2" fontId="3" fillId="3" borderId="1" xfId="0" quotePrefix="1" applyNumberFormat="1" applyFont="1" applyFill="1" applyBorder="1" applyAlignment="1">
      <alignment vertical="center" wrapText="1"/>
    </xf>
    <xf numFmtId="2" fontId="3" fillId="3" borderId="1" xfId="0" applyNumberFormat="1" applyFont="1" applyFill="1" applyBorder="1" applyAlignment="1">
      <alignment vertical="center" wrapText="1"/>
    </xf>
    <xf numFmtId="0" fontId="3" fillId="4" borderId="1" xfId="0" quotePrefix="1" applyFont="1" applyFill="1" applyBorder="1" applyAlignment="1">
      <alignment horizontal="center" vertical="center" wrapText="1"/>
    </xf>
    <xf numFmtId="0" fontId="3" fillId="4" borderId="1" xfId="0"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2" fontId="3" fillId="4" borderId="1" xfId="0" quotePrefix="1" applyNumberFormat="1" applyFont="1" applyFill="1" applyBorder="1" applyAlignment="1">
      <alignment vertical="center" wrapText="1"/>
    </xf>
    <xf numFmtId="2" fontId="3" fillId="4" borderId="1" xfId="0" applyNumberFormat="1" applyFont="1" applyFill="1" applyBorder="1" applyAlignment="1">
      <alignment vertical="center" wrapText="1"/>
    </xf>
    <xf numFmtId="49" fontId="13" fillId="0" borderId="1" xfId="1" applyNumberFormat="1" applyFont="1" applyFill="1" applyBorder="1" applyAlignment="1" applyProtection="1">
      <alignment horizontal="center" vertical="top"/>
    </xf>
    <xf numFmtId="49" fontId="13" fillId="0" borderId="2" xfId="1" applyNumberFormat="1" applyFont="1" applyFill="1" applyBorder="1" applyAlignment="1" applyProtection="1">
      <alignment horizontal="center" vertical="top" wrapText="1"/>
    </xf>
    <xf numFmtId="0" fontId="13" fillId="0" borderId="1" xfId="1" applyNumberFormat="1" applyFont="1" applyFill="1" applyBorder="1" applyAlignment="1" applyProtection="1">
      <alignment horizontal="center" vertical="top" wrapText="1"/>
    </xf>
    <xf numFmtId="49" fontId="2" fillId="0" borderId="1" xfId="0" quotePrefix="1" applyNumberFormat="1" applyFont="1" applyBorder="1" applyAlignment="1">
      <alignment horizontal="center" vertical="center" wrapText="1"/>
    </xf>
    <xf numFmtId="2" fontId="0" fillId="0" borderId="0" xfId="0" applyNumberFormat="1"/>
    <xf numFmtId="0" fontId="13" fillId="0" borderId="1" xfId="1" applyFont="1" applyBorder="1" applyAlignment="1">
      <alignment vertical="top" wrapText="1"/>
    </xf>
    <xf numFmtId="49" fontId="2" fillId="0" borderId="1" xfId="0" quotePrefix="1" applyNumberFormat="1" applyFont="1" applyBorder="1" applyAlignment="1">
      <alignment vertical="center" wrapText="1"/>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vertical="center" wrapText="1"/>
    </xf>
    <xf numFmtId="1" fontId="4" fillId="0" borderId="1" xfId="0" quotePrefix="1" applyNumberFormat="1" applyFont="1" applyBorder="1" applyAlignment="1">
      <alignment horizontal="center" vertical="center" wrapText="1"/>
    </xf>
    <xf numFmtId="2" fontId="2" fillId="0" borderId="2" xfId="0" quotePrefix="1" applyNumberFormat="1" applyFont="1" applyBorder="1" applyAlignment="1">
      <alignment horizontal="center" vertical="center" wrapText="1"/>
    </xf>
    <xf numFmtId="2" fontId="5" fillId="0" borderId="1" xfId="0" applyNumberFormat="1" applyFont="1" applyBorder="1" applyAlignment="1">
      <alignment vertical="center" wrapText="1"/>
    </xf>
    <xf numFmtId="49" fontId="4" fillId="0" borderId="2" xfId="0" quotePrefix="1" applyNumberFormat="1" applyFont="1" applyBorder="1" applyAlignment="1">
      <alignment horizontal="center" vertical="center" wrapText="1"/>
    </xf>
    <xf numFmtId="1" fontId="2" fillId="0" borderId="1" xfId="0" quotePrefix="1" applyNumberFormat="1" applyFont="1" applyBorder="1" applyAlignment="1">
      <alignment horizontal="center" vertical="center" wrapText="1"/>
    </xf>
    <xf numFmtId="2" fontId="2" fillId="5" borderId="1" xfId="0" applyNumberFormat="1" applyFont="1" applyFill="1" applyBorder="1" applyAlignment="1">
      <alignment vertical="center" wrapText="1"/>
    </xf>
    <xf numFmtId="0" fontId="16" fillId="0" borderId="0" xfId="0" applyFont="1"/>
    <xf numFmtId="164" fontId="2" fillId="0" borderId="1" xfId="0" applyNumberFormat="1" applyFont="1" applyBorder="1" applyAlignment="1">
      <alignmen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left" vertical="top"/>
    </xf>
    <xf numFmtId="0" fontId="2" fillId="0" borderId="0" xfId="0" applyFont="1" applyAlignment="1">
      <alignment horizontal="left" vertical="center" wrapText="1"/>
    </xf>
    <xf numFmtId="0" fontId="3" fillId="0" borderId="0" xfId="0" applyFont="1" applyAlignment="1">
      <alignment horizontal="center"/>
    </xf>
    <xf numFmtId="0" fontId="2" fillId="0" borderId="0" xfId="0" applyFont="1" applyAlignment="1">
      <alignment horizontal="center"/>
    </xf>
    <xf numFmtId="0" fontId="10" fillId="0" borderId="1" xfId="0" applyFont="1" applyBorder="1" applyAlignment="1">
      <alignment horizontal="center" vertical="center" wrapText="1"/>
    </xf>
    <xf numFmtId="0" fontId="6" fillId="0" borderId="0" xfId="0" applyFont="1" applyAlignment="1">
      <alignment horizontal="left"/>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cellXfs>
  <cellStyles count="4">
    <cellStyle name="Обычный" xfId="0" builtinId="0"/>
    <cellStyle name="Обычный 2" xfId="3" xr:uid="{00000000-0005-0000-0000-000001000000}"/>
    <cellStyle name="Обычный 4" xfId="2" xr:uid="{00000000-0005-0000-0000-000002000000}"/>
    <cellStyle name="Обычный 6" xfId="1" xr:uid="{00000000-0005-0000-0000-000003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5"/>
  <sheetViews>
    <sheetView tabSelected="1" zoomScale="85" zoomScaleNormal="85" zoomScaleSheetLayoutView="85" workbookViewId="0">
      <pane xSplit="5" ySplit="11" topLeftCell="F202" activePane="bottomRight" state="frozen"/>
      <selection pane="topRight" activeCell="F1" sqref="F1"/>
      <selection pane="bottomLeft" activeCell="A12" sqref="A12"/>
      <selection pane="bottomRight" activeCell="C218" sqref="C218"/>
    </sheetView>
  </sheetViews>
  <sheetFormatPr defaultRowHeight="12.75" x14ac:dyDescent="0.2"/>
  <cols>
    <col min="1" max="3" width="11.7109375" customWidth="1"/>
    <col min="4" max="4" width="117.5703125" customWidth="1"/>
    <col min="5" max="5" width="18.42578125" customWidth="1"/>
    <col min="6" max="6" width="16.42578125" customWidth="1"/>
    <col min="7" max="7" width="16" customWidth="1"/>
    <col min="8" max="8" width="15.28515625" customWidth="1"/>
    <col min="9" max="9" width="14.5703125" customWidth="1"/>
    <col min="10" max="10" width="16.42578125" customWidth="1"/>
    <col min="11" max="12" width="14.28515625" customWidth="1"/>
    <col min="13" max="13" width="13.42578125" customWidth="1"/>
    <col min="14" max="14" width="13.85546875" customWidth="1"/>
    <col min="15" max="15" width="13.140625" customWidth="1"/>
    <col min="16" max="16" width="15" customWidth="1"/>
    <col min="17" max="17" width="17.5703125" customWidth="1"/>
  </cols>
  <sheetData>
    <row r="1" spans="1:17" ht="15.75" x14ac:dyDescent="0.25">
      <c r="A1" s="2"/>
      <c r="B1" s="2"/>
      <c r="C1" s="2"/>
      <c r="D1" s="2"/>
      <c r="E1" s="2"/>
      <c r="F1" s="2"/>
      <c r="G1" s="2"/>
      <c r="H1" s="2"/>
      <c r="I1" s="2"/>
      <c r="J1" s="2"/>
      <c r="K1" s="2"/>
      <c r="L1" s="2"/>
      <c r="M1" s="2"/>
      <c r="N1" s="59" t="s">
        <v>0</v>
      </c>
      <c r="O1" s="59"/>
      <c r="P1" s="59"/>
      <c r="Q1" s="59"/>
    </row>
    <row r="2" spans="1:17" ht="105.75" customHeight="1" x14ac:dyDescent="0.25">
      <c r="A2" s="2"/>
      <c r="B2" s="2"/>
      <c r="C2" s="2"/>
      <c r="D2" s="2"/>
      <c r="E2" s="2"/>
      <c r="F2" s="2"/>
      <c r="G2" s="2"/>
      <c r="H2" s="2"/>
      <c r="I2" s="2"/>
      <c r="J2" s="2"/>
      <c r="K2" s="2"/>
      <c r="L2" s="2"/>
      <c r="M2" s="2"/>
      <c r="N2" s="60" t="s">
        <v>454</v>
      </c>
      <c r="O2" s="60"/>
      <c r="P2" s="60"/>
      <c r="Q2" s="60"/>
    </row>
    <row r="3" spans="1:17" ht="14.25" customHeight="1" x14ac:dyDescent="0.25">
      <c r="A3" s="2"/>
      <c r="B3" s="2"/>
      <c r="C3" s="2"/>
      <c r="D3" s="2"/>
      <c r="E3" s="2"/>
      <c r="F3" s="2"/>
      <c r="G3" s="2"/>
      <c r="H3" s="2"/>
      <c r="I3" s="2"/>
      <c r="J3" s="2"/>
      <c r="K3" s="2"/>
      <c r="L3" s="2"/>
      <c r="M3" s="2"/>
      <c r="N3" s="2"/>
      <c r="O3" s="2"/>
      <c r="P3" s="2"/>
      <c r="Q3" s="2"/>
    </row>
    <row r="4" spans="1:17" ht="15.75" x14ac:dyDescent="0.25">
      <c r="A4" s="61" t="s">
        <v>1</v>
      </c>
      <c r="B4" s="62"/>
      <c r="C4" s="62"/>
      <c r="D4" s="62"/>
      <c r="E4" s="62"/>
      <c r="F4" s="62"/>
      <c r="G4" s="62"/>
      <c r="H4" s="62"/>
      <c r="I4" s="62"/>
      <c r="J4" s="62"/>
      <c r="K4" s="62"/>
      <c r="L4" s="62"/>
      <c r="M4" s="62"/>
      <c r="N4" s="62"/>
      <c r="O4" s="62"/>
      <c r="P4" s="62"/>
      <c r="Q4" s="62"/>
    </row>
    <row r="5" spans="1:17" ht="15.75" x14ac:dyDescent="0.25">
      <c r="A5" s="61" t="s">
        <v>427</v>
      </c>
      <c r="B5" s="62"/>
      <c r="C5" s="62"/>
      <c r="D5" s="62"/>
      <c r="E5" s="62"/>
      <c r="F5" s="62"/>
      <c r="G5" s="62"/>
      <c r="H5" s="62"/>
      <c r="I5" s="62"/>
      <c r="J5" s="62"/>
      <c r="K5" s="62"/>
      <c r="L5" s="62"/>
      <c r="M5" s="62"/>
      <c r="N5" s="62"/>
      <c r="O5" s="62"/>
      <c r="P5" s="62"/>
      <c r="Q5" s="62"/>
    </row>
    <row r="6" spans="1:17" s="25" customFormat="1" ht="15.75" x14ac:dyDescent="0.25">
      <c r="A6" s="64">
        <v>2553500000</v>
      </c>
      <c r="B6" s="64"/>
      <c r="C6" s="24"/>
      <c r="D6" s="24"/>
      <c r="E6" s="24"/>
      <c r="F6" s="24"/>
      <c r="G6" s="24"/>
      <c r="H6" s="24"/>
      <c r="I6" s="24"/>
      <c r="J6" s="24"/>
      <c r="K6" s="24"/>
      <c r="L6" s="24"/>
      <c r="M6" s="24"/>
      <c r="N6" s="24"/>
      <c r="O6" s="24"/>
      <c r="P6" s="24"/>
      <c r="Q6" s="24"/>
    </row>
    <row r="7" spans="1:17" ht="15.75" x14ac:dyDescent="0.25">
      <c r="A7" s="26" t="s">
        <v>108</v>
      </c>
      <c r="B7" s="2"/>
      <c r="C7" s="2"/>
      <c r="D7" s="2"/>
      <c r="E7" s="2"/>
      <c r="F7" s="2"/>
      <c r="G7" s="2"/>
      <c r="H7" s="2"/>
      <c r="I7" s="2"/>
      <c r="J7" s="2"/>
      <c r="K7" s="2"/>
      <c r="L7" s="2"/>
      <c r="M7" s="2"/>
      <c r="N7" s="2"/>
      <c r="O7" s="2"/>
      <c r="P7" s="2"/>
      <c r="Q7" s="3" t="s">
        <v>2</v>
      </c>
    </row>
    <row r="8" spans="1:17" ht="15.75" x14ac:dyDescent="0.2">
      <c r="A8" s="63" t="s">
        <v>3</v>
      </c>
      <c r="B8" s="63" t="s">
        <v>4</v>
      </c>
      <c r="C8" s="63" t="s">
        <v>109</v>
      </c>
      <c r="D8" s="58" t="s">
        <v>135</v>
      </c>
      <c r="E8" s="58" t="s">
        <v>5</v>
      </c>
      <c r="F8" s="58"/>
      <c r="G8" s="58"/>
      <c r="H8" s="58"/>
      <c r="I8" s="58"/>
      <c r="J8" s="58" t="s">
        <v>11</v>
      </c>
      <c r="K8" s="58"/>
      <c r="L8" s="58"/>
      <c r="M8" s="58"/>
      <c r="N8" s="58"/>
      <c r="O8" s="58"/>
      <c r="P8" s="58"/>
      <c r="Q8" s="57" t="s">
        <v>113</v>
      </c>
    </row>
    <row r="9" spans="1:17" ht="15.75" customHeight="1" x14ac:dyDescent="0.2">
      <c r="A9" s="63"/>
      <c r="B9" s="63"/>
      <c r="C9" s="63"/>
      <c r="D9" s="58"/>
      <c r="E9" s="57" t="s">
        <v>106</v>
      </c>
      <c r="F9" s="58" t="s">
        <v>6</v>
      </c>
      <c r="G9" s="58" t="s">
        <v>7</v>
      </c>
      <c r="H9" s="58"/>
      <c r="I9" s="58" t="s">
        <v>10</v>
      </c>
      <c r="J9" s="57" t="s">
        <v>106</v>
      </c>
      <c r="K9" s="58" t="s">
        <v>110</v>
      </c>
      <c r="L9" s="58"/>
      <c r="M9" s="58" t="s">
        <v>6</v>
      </c>
      <c r="N9" s="58" t="s">
        <v>7</v>
      </c>
      <c r="O9" s="58"/>
      <c r="P9" s="58" t="s">
        <v>10</v>
      </c>
      <c r="Q9" s="58"/>
    </row>
    <row r="10" spans="1:17" ht="17.25" customHeight="1" x14ac:dyDescent="0.2">
      <c r="A10" s="63"/>
      <c r="B10" s="63"/>
      <c r="C10" s="63"/>
      <c r="D10" s="58"/>
      <c r="E10" s="58"/>
      <c r="F10" s="58"/>
      <c r="G10" s="58" t="s">
        <v>8</v>
      </c>
      <c r="H10" s="58" t="s">
        <v>9</v>
      </c>
      <c r="I10" s="58"/>
      <c r="J10" s="58"/>
      <c r="K10" s="65" t="s">
        <v>111</v>
      </c>
      <c r="L10" s="66" t="s">
        <v>112</v>
      </c>
      <c r="M10" s="58"/>
      <c r="N10" s="58" t="s">
        <v>8</v>
      </c>
      <c r="O10" s="58" t="s">
        <v>9</v>
      </c>
      <c r="P10" s="58"/>
      <c r="Q10" s="58"/>
    </row>
    <row r="11" spans="1:17" ht="50.25" customHeight="1" x14ac:dyDescent="0.2">
      <c r="A11" s="63"/>
      <c r="B11" s="63"/>
      <c r="C11" s="63"/>
      <c r="D11" s="58"/>
      <c r="E11" s="58"/>
      <c r="F11" s="58"/>
      <c r="G11" s="58"/>
      <c r="H11" s="58"/>
      <c r="I11" s="58"/>
      <c r="J11" s="58"/>
      <c r="K11" s="65"/>
      <c r="L11" s="66"/>
      <c r="M11" s="58"/>
      <c r="N11" s="58"/>
      <c r="O11" s="58"/>
      <c r="P11" s="58"/>
      <c r="Q11" s="58"/>
    </row>
    <row r="12" spans="1:17" ht="15.75" x14ac:dyDescent="0.2">
      <c r="A12" s="4">
        <v>1</v>
      </c>
      <c r="B12" s="4">
        <v>2</v>
      </c>
      <c r="C12" s="4">
        <v>3</v>
      </c>
      <c r="D12" s="4">
        <v>4</v>
      </c>
      <c r="E12" s="5">
        <v>5</v>
      </c>
      <c r="F12" s="4">
        <v>6</v>
      </c>
      <c r="G12" s="4">
        <v>7</v>
      </c>
      <c r="H12" s="4">
        <v>8</v>
      </c>
      <c r="I12" s="4">
        <v>9</v>
      </c>
      <c r="J12" s="5">
        <v>10</v>
      </c>
      <c r="K12" s="4">
        <v>11</v>
      </c>
      <c r="L12" s="23">
        <v>12</v>
      </c>
      <c r="M12" s="4">
        <v>13</v>
      </c>
      <c r="N12" s="4">
        <v>14</v>
      </c>
      <c r="O12" s="4">
        <v>15</v>
      </c>
      <c r="P12" s="4">
        <v>16</v>
      </c>
      <c r="Q12" s="5">
        <v>17</v>
      </c>
    </row>
    <row r="13" spans="1:17" ht="18" customHeight="1" x14ac:dyDescent="0.2">
      <c r="A13" s="35" t="s">
        <v>12</v>
      </c>
      <c r="B13" s="36"/>
      <c r="C13" s="37"/>
      <c r="D13" s="38" t="s">
        <v>147</v>
      </c>
      <c r="E13" s="39">
        <f t="shared" ref="E13:E23" si="0">F13+I13</f>
        <v>119385584</v>
      </c>
      <c r="F13" s="39">
        <f>F14</f>
        <v>97567784</v>
      </c>
      <c r="G13" s="39">
        <f t="shared" ref="G13:I13" si="1">G14</f>
        <v>40592676</v>
      </c>
      <c r="H13" s="39">
        <f t="shared" si="1"/>
        <v>3393435</v>
      </c>
      <c r="I13" s="39">
        <f t="shared" si="1"/>
        <v>21817800</v>
      </c>
      <c r="J13" s="39">
        <f>M13+P13</f>
        <v>12900000</v>
      </c>
      <c r="K13" s="39">
        <f t="shared" ref="K13:P13" si="2">K14</f>
        <v>12126000</v>
      </c>
      <c r="L13" s="39">
        <f t="shared" si="2"/>
        <v>12126000</v>
      </c>
      <c r="M13" s="39">
        <f t="shared" si="2"/>
        <v>665000</v>
      </c>
      <c r="N13" s="39">
        <f t="shared" si="2"/>
        <v>0</v>
      </c>
      <c r="O13" s="39">
        <f t="shared" si="2"/>
        <v>0</v>
      </c>
      <c r="P13" s="39">
        <f t="shared" si="2"/>
        <v>12235000</v>
      </c>
      <c r="Q13" s="39">
        <f t="shared" ref="Q13:Q133" si="3">E13+J13</f>
        <v>132285584</v>
      </c>
    </row>
    <row r="14" spans="1:17" ht="19.5" customHeight="1" x14ac:dyDescent="0.2">
      <c r="A14" s="35" t="s">
        <v>13</v>
      </c>
      <c r="B14" s="36"/>
      <c r="C14" s="37"/>
      <c r="D14" s="38" t="s">
        <v>147</v>
      </c>
      <c r="E14" s="39">
        <f t="shared" si="0"/>
        <v>119385584</v>
      </c>
      <c r="F14" s="39">
        <f>F15+F18+F22+F32+F61+F63+F71+F88+F109</f>
        <v>97567784</v>
      </c>
      <c r="G14" s="39">
        <f t="shared" ref="G14:I14" si="4">G15+G18+G22+G32+G61+G63+G71+G88+G109</f>
        <v>40592676</v>
      </c>
      <c r="H14" s="39">
        <f t="shared" si="4"/>
        <v>3393435</v>
      </c>
      <c r="I14" s="39">
        <f t="shared" si="4"/>
        <v>21817800</v>
      </c>
      <c r="J14" s="39">
        <f>M14+P14</f>
        <v>12900000</v>
      </c>
      <c r="K14" s="39">
        <f t="shared" ref="K14:P14" si="5">K15+K18+K22+K32+K61+K63+K71+K88+K109</f>
        <v>12126000</v>
      </c>
      <c r="L14" s="39">
        <f t="shared" si="5"/>
        <v>12126000</v>
      </c>
      <c r="M14" s="39">
        <f t="shared" si="5"/>
        <v>665000</v>
      </c>
      <c r="N14" s="39">
        <f t="shared" si="5"/>
        <v>0</v>
      </c>
      <c r="O14" s="39">
        <f t="shared" si="5"/>
        <v>0</v>
      </c>
      <c r="P14" s="39">
        <f t="shared" si="5"/>
        <v>12235000</v>
      </c>
      <c r="Q14" s="39">
        <f t="shared" si="3"/>
        <v>132285584</v>
      </c>
    </row>
    <row r="15" spans="1:17" ht="16.5" customHeight="1" x14ac:dyDescent="0.2">
      <c r="A15" s="6" t="s">
        <v>114</v>
      </c>
      <c r="B15" s="27" t="s">
        <v>115</v>
      </c>
      <c r="C15" s="7" t="s">
        <v>114</v>
      </c>
      <c r="D15" s="8" t="s">
        <v>116</v>
      </c>
      <c r="E15" s="9">
        <f t="shared" si="0"/>
        <v>36894120</v>
      </c>
      <c r="F15" s="10">
        <f>F16+F17</f>
        <v>36375620</v>
      </c>
      <c r="G15" s="10">
        <f>G16+G17</f>
        <v>24894800</v>
      </c>
      <c r="H15" s="10">
        <f>H16+H17</f>
        <v>1387010</v>
      </c>
      <c r="I15" s="10">
        <f>I16+I17</f>
        <v>518500</v>
      </c>
      <c r="J15" s="9">
        <f>M15+P15</f>
        <v>0</v>
      </c>
      <c r="K15" s="10">
        <f t="shared" ref="K15:P15" si="6">K16+K17</f>
        <v>0</v>
      </c>
      <c r="L15" s="10">
        <f t="shared" si="6"/>
        <v>0</v>
      </c>
      <c r="M15" s="10">
        <f t="shared" si="6"/>
        <v>0</v>
      </c>
      <c r="N15" s="10">
        <f t="shared" si="6"/>
        <v>0</v>
      </c>
      <c r="O15" s="10">
        <f t="shared" si="6"/>
        <v>0</v>
      </c>
      <c r="P15" s="10">
        <f t="shared" si="6"/>
        <v>0</v>
      </c>
      <c r="Q15" s="9">
        <f t="shared" si="3"/>
        <v>36894120</v>
      </c>
    </row>
    <row r="16" spans="1:17" ht="34.5" customHeight="1" x14ac:dyDescent="0.2">
      <c r="A16" s="11" t="s">
        <v>14</v>
      </c>
      <c r="B16" s="11" t="s">
        <v>16</v>
      </c>
      <c r="C16" s="12" t="s">
        <v>15</v>
      </c>
      <c r="D16" s="13" t="s">
        <v>17</v>
      </c>
      <c r="E16" s="14">
        <f t="shared" si="0"/>
        <v>35769820</v>
      </c>
      <c r="F16" s="15">
        <f>32785820-99500+2531000+34000</f>
        <v>35251320</v>
      </c>
      <c r="G16" s="15">
        <f>22820200+2074600</f>
        <v>24894800</v>
      </c>
      <c r="H16" s="15">
        <v>1387010</v>
      </c>
      <c r="I16" s="15">
        <f>552500-34000</f>
        <v>518500</v>
      </c>
      <c r="J16" s="14">
        <f>M16+P16</f>
        <v>0</v>
      </c>
      <c r="K16" s="15"/>
      <c r="L16" s="15"/>
      <c r="M16" s="15"/>
      <c r="N16" s="15"/>
      <c r="O16" s="15"/>
      <c r="P16" s="15"/>
      <c r="Q16" s="14">
        <f t="shared" si="3"/>
        <v>35769820</v>
      </c>
    </row>
    <row r="17" spans="1:17" ht="16.5" customHeight="1" x14ac:dyDescent="0.2">
      <c r="A17" s="11" t="s">
        <v>18</v>
      </c>
      <c r="B17" s="11" t="s">
        <v>20</v>
      </c>
      <c r="C17" s="12" t="s">
        <v>19</v>
      </c>
      <c r="D17" s="13" t="s">
        <v>21</v>
      </c>
      <c r="E17" s="14">
        <f t="shared" si="0"/>
        <v>1124300</v>
      </c>
      <c r="F17" s="15">
        <f>265000+300000+31800+328000+99500+100000</f>
        <v>1124300</v>
      </c>
      <c r="G17" s="15"/>
      <c r="H17" s="15"/>
      <c r="I17" s="15"/>
      <c r="J17" s="14">
        <f t="shared" ref="J17:J119" si="7">M17+P17</f>
        <v>0</v>
      </c>
      <c r="K17" s="15"/>
      <c r="L17" s="15"/>
      <c r="M17" s="15"/>
      <c r="N17" s="15"/>
      <c r="O17" s="15"/>
      <c r="P17" s="15"/>
      <c r="Q17" s="14">
        <f t="shared" si="3"/>
        <v>1124300</v>
      </c>
    </row>
    <row r="18" spans="1:17" ht="16.5" hidden="1" customHeight="1" x14ac:dyDescent="0.2">
      <c r="A18" s="6" t="s">
        <v>114</v>
      </c>
      <c r="B18" s="6">
        <v>1000</v>
      </c>
      <c r="C18" s="28" t="s">
        <v>114</v>
      </c>
      <c r="D18" s="8" t="s">
        <v>129</v>
      </c>
      <c r="E18" s="9">
        <f t="shared" si="0"/>
        <v>0</v>
      </c>
      <c r="F18" s="10">
        <f>F19+F20</f>
        <v>0</v>
      </c>
      <c r="G18" s="10">
        <f t="shared" ref="G18:I18" si="8">G19+G20</f>
        <v>0</v>
      </c>
      <c r="H18" s="10">
        <f t="shared" si="8"/>
        <v>0</v>
      </c>
      <c r="I18" s="10">
        <f t="shared" si="8"/>
        <v>0</v>
      </c>
      <c r="J18" s="9">
        <f t="shared" si="7"/>
        <v>0</v>
      </c>
      <c r="K18" s="10">
        <f t="shared" ref="K18:P18" si="9">K19+K20</f>
        <v>0</v>
      </c>
      <c r="L18" s="10">
        <f t="shared" si="9"/>
        <v>0</v>
      </c>
      <c r="M18" s="10">
        <f t="shared" si="9"/>
        <v>0</v>
      </c>
      <c r="N18" s="10">
        <f t="shared" si="9"/>
        <v>0</v>
      </c>
      <c r="O18" s="10">
        <f t="shared" si="9"/>
        <v>0</v>
      </c>
      <c r="P18" s="10">
        <f t="shared" si="9"/>
        <v>0</v>
      </c>
      <c r="Q18" s="9">
        <f t="shared" si="3"/>
        <v>0</v>
      </c>
    </row>
    <row r="19" spans="1:17" ht="16.5" hidden="1" customHeight="1" x14ac:dyDescent="0.2">
      <c r="A19" s="43" t="s">
        <v>274</v>
      </c>
      <c r="B19" s="43" t="s">
        <v>70</v>
      </c>
      <c r="C19" s="43" t="s">
        <v>72</v>
      </c>
      <c r="D19" s="13" t="s">
        <v>275</v>
      </c>
      <c r="E19" s="14">
        <f t="shared" ref="E19:E21" si="10">F19+I19</f>
        <v>0</v>
      </c>
      <c r="F19" s="15"/>
      <c r="G19" s="15"/>
      <c r="H19" s="15"/>
      <c r="I19" s="15"/>
      <c r="J19" s="14">
        <f t="shared" si="7"/>
        <v>0</v>
      </c>
      <c r="K19" s="15"/>
      <c r="L19" s="15"/>
      <c r="M19" s="15"/>
      <c r="N19" s="15"/>
      <c r="O19" s="15"/>
      <c r="P19" s="15"/>
      <c r="Q19" s="14">
        <f t="shared" ref="Q19:Q21" si="11">E19+J19</f>
        <v>0</v>
      </c>
    </row>
    <row r="20" spans="1:17" ht="16.5" hidden="1" customHeight="1" x14ac:dyDescent="0.2">
      <c r="A20" s="43" t="s">
        <v>276</v>
      </c>
      <c r="B20" s="43" t="s">
        <v>114</v>
      </c>
      <c r="C20" s="43" t="s">
        <v>114</v>
      </c>
      <c r="D20" s="13" t="s">
        <v>236</v>
      </c>
      <c r="E20" s="14">
        <f t="shared" si="10"/>
        <v>0</v>
      </c>
      <c r="F20" s="15">
        <f>F21</f>
        <v>0</v>
      </c>
      <c r="G20" s="15">
        <f t="shared" ref="G20:I20" si="12">G21</f>
        <v>0</v>
      </c>
      <c r="H20" s="15">
        <f t="shared" si="12"/>
        <v>0</v>
      </c>
      <c r="I20" s="15">
        <f t="shared" si="12"/>
        <v>0</v>
      </c>
      <c r="J20" s="14">
        <f t="shared" si="7"/>
        <v>0</v>
      </c>
      <c r="K20" s="15">
        <f t="shared" ref="K20:P20" si="13">K21</f>
        <v>0</v>
      </c>
      <c r="L20" s="15">
        <f t="shared" si="13"/>
        <v>0</v>
      </c>
      <c r="M20" s="15">
        <f t="shared" si="13"/>
        <v>0</v>
      </c>
      <c r="N20" s="15">
        <f t="shared" si="13"/>
        <v>0</v>
      </c>
      <c r="O20" s="15">
        <f t="shared" si="13"/>
        <v>0</v>
      </c>
      <c r="P20" s="15">
        <f t="shared" si="13"/>
        <v>0</v>
      </c>
      <c r="Q20" s="14">
        <f t="shared" si="11"/>
        <v>0</v>
      </c>
    </row>
    <row r="21" spans="1:17" ht="27" hidden="1" customHeight="1" x14ac:dyDescent="0.2">
      <c r="A21" s="47" t="s">
        <v>277</v>
      </c>
      <c r="B21" s="47" t="s">
        <v>278</v>
      </c>
      <c r="C21" s="47" t="s">
        <v>72</v>
      </c>
      <c r="D21" s="18" t="s">
        <v>271</v>
      </c>
      <c r="E21" s="19">
        <f t="shared" si="10"/>
        <v>0</v>
      </c>
      <c r="F21" s="20"/>
      <c r="G21" s="20"/>
      <c r="H21" s="20"/>
      <c r="I21" s="20"/>
      <c r="J21" s="19">
        <f t="shared" si="7"/>
        <v>0</v>
      </c>
      <c r="K21" s="20"/>
      <c r="L21" s="20"/>
      <c r="M21" s="20"/>
      <c r="N21" s="20"/>
      <c r="O21" s="20"/>
      <c r="P21" s="20"/>
      <c r="Q21" s="19">
        <f t="shared" si="11"/>
        <v>0</v>
      </c>
    </row>
    <row r="22" spans="1:17" ht="15.75" x14ac:dyDescent="0.2">
      <c r="A22" s="6" t="s">
        <v>114</v>
      </c>
      <c r="B22" s="6">
        <v>2000</v>
      </c>
      <c r="C22" s="28" t="s">
        <v>114</v>
      </c>
      <c r="D22" s="8" t="s">
        <v>136</v>
      </c>
      <c r="E22" s="9">
        <f t="shared" ref="E22" si="14">F22+I22</f>
        <v>14626750</v>
      </c>
      <c r="F22" s="10">
        <f>F23+F24+F26+F28+F30</f>
        <v>9874450</v>
      </c>
      <c r="G22" s="10">
        <f t="shared" ref="G22:I22" si="15">G23+G24+G26+G28+G30</f>
        <v>0</v>
      </c>
      <c r="H22" s="10">
        <f t="shared" si="15"/>
        <v>254600</v>
      </c>
      <c r="I22" s="10">
        <f t="shared" si="15"/>
        <v>4752300</v>
      </c>
      <c r="J22" s="9">
        <f t="shared" ref="J22:J25" si="16">M22+P22</f>
        <v>3100000</v>
      </c>
      <c r="K22" s="10">
        <f t="shared" ref="K22:P22" si="17">K23+K24+K26+K28+K30</f>
        <v>3100000</v>
      </c>
      <c r="L22" s="10">
        <f t="shared" si="17"/>
        <v>3100000</v>
      </c>
      <c r="M22" s="10">
        <f t="shared" si="17"/>
        <v>0</v>
      </c>
      <c r="N22" s="10">
        <f t="shared" si="17"/>
        <v>0</v>
      </c>
      <c r="O22" s="10">
        <f t="shared" si="17"/>
        <v>0</v>
      </c>
      <c r="P22" s="10">
        <f t="shared" si="17"/>
        <v>3100000</v>
      </c>
      <c r="Q22" s="9">
        <f t="shared" ref="Q22" si="18">E22+J22</f>
        <v>17726750</v>
      </c>
    </row>
    <row r="23" spans="1:17" ht="18" customHeight="1" x14ac:dyDescent="0.2">
      <c r="A23" s="43" t="s">
        <v>148</v>
      </c>
      <c r="B23" s="43" t="s">
        <v>149</v>
      </c>
      <c r="C23" s="43" t="s">
        <v>150</v>
      </c>
      <c r="D23" s="13" t="s">
        <v>151</v>
      </c>
      <c r="E23" s="14">
        <f t="shared" si="0"/>
        <v>8844550</v>
      </c>
      <c r="F23" s="15">
        <f>3522000+410000+199000+86250</f>
        <v>4217250</v>
      </c>
      <c r="G23" s="15"/>
      <c r="H23" s="15"/>
      <c r="I23" s="15">
        <f>3700000+200000+416000+311300</f>
        <v>4627300</v>
      </c>
      <c r="J23" s="14">
        <f t="shared" si="16"/>
        <v>0</v>
      </c>
      <c r="K23" s="15"/>
      <c r="L23" s="15"/>
      <c r="M23" s="15"/>
      <c r="N23" s="15"/>
      <c r="O23" s="15"/>
      <c r="P23" s="15"/>
      <c r="Q23" s="14">
        <f t="shared" si="3"/>
        <v>8844550</v>
      </c>
    </row>
    <row r="24" spans="1:17" ht="21" customHeight="1" x14ac:dyDescent="0.2">
      <c r="A24" s="43" t="s">
        <v>152</v>
      </c>
      <c r="B24" s="43" t="s">
        <v>114</v>
      </c>
      <c r="C24" s="43" t="s">
        <v>114</v>
      </c>
      <c r="D24" s="13" t="s">
        <v>153</v>
      </c>
      <c r="E24" s="14">
        <f t="shared" ref="E24:E25" si="19">F24+I24</f>
        <v>5352200</v>
      </c>
      <c r="F24" s="15">
        <f>F25</f>
        <v>5227200</v>
      </c>
      <c r="G24" s="15">
        <f t="shared" ref="G24:I24" si="20">G25</f>
        <v>0</v>
      </c>
      <c r="H24" s="15">
        <f t="shared" si="20"/>
        <v>0</v>
      </c>
      <c r="I24" s="15">
        <f t="shared" si="20"/>
        <v>125000</v>
      </c>
      <c r="J24" s="14">
        <f t="shared" si="16"/>
        <v>0</v>
      </c>
      <c r="K24" s="15">
        <f t="shared" ref="K24:P24" si="21">K25</f>
        <v>0</v>
      </c>
      <c r="L24" s="15">
        <f t="shared" si="21"/>
        <v>0</v>
      </c>
      <c r="M24" s="15">
        <f t="shared" si="21"/>
        <v>0</v>
      </c>
      <c r="N24" s="15">
        <f t="shared" si="21"/>
        <v>0</v>
      </c>
      <c r="O24" s="15">
        <f t="shared" si="21"/>
        <v>0</v>
      </c>
      <c r="P24" s="15">
        <f t="shared" si="21"/>
        <v>0</v>
      </c>
      <c r="Q24" s="14">
        <f t="shared" si="3"/>
        <v>5352200</v>
      </c>
    </row>
    <row r="25" spans="1:17" ht="30" customHeight="1" x14ac:dyDescent="0.2">
      <c r="A25" s="47" t="s">
        <v>154</v>
      </c>
      <c r="B25" s="47" t="s">
        <v>155</v>
      </c>
      <c r="C25" s="47" t="s">
        <v>156</v>
      </c>
      <c r="D25" s="18" t="s">
        <v>157</v>
      </c>
      <c r="E25" s="19">
        <f t="shared" si="19"/>
        <v>5352200</v>
      </c>
      <c r="F25" s="20">
        <v>5227200</v>
      </c>
      <c r="G25" s="20"/>
      <c r="H25" s="20"/>
      <c r="I25" s="20">
        <v>125000</v>
      </c>
      <c r="J25" s="19">
        <f t="shared" si="16"/>
        <v>0</v>
      </c>
      <c r="K25" s="20"/>
      <c r="L25" s="20"/>
      <c r="M25" s="20"/>
      <c r="N25" s="20"/>
      <c r="O25" s="20"/>
      <c r="P25" s="20"/>
      <c r="Q25" s="19">
        <f t="shared" si="3"/>
        <v>5352200</v>
      </c>
    </row>
    <row r="26" spans="1:17" ht="18.75" customHeight="1" x14ac:dyDescent="0.2">
      <c r="A26" s="43" t="s">
        <v>158</v>
      </c>
      <c r="B26" s="43" t="s">
        <v>114</v>
      </c>
      <c r="C26" s="43" t="s">
        <v>114</v>
      </c>
      <c r="D26" s="13" t="s">
        <v>159</v>
      </c>
      <c r="E26" s="14">
        <f t="shared" ref="E26" si="22">F26+I26</f>
        <v>30000</v>
      </c>
      <c r="F26" s="15">
        <f>F27</f>
        <v>30000</v>
      </c>
      <c r="G26" s="15">
        <f t="shared" ref="G26:I26" si="23">G27</f>
        <v>0</v>
      </c>
      <c r="H26" s="15">
        <f t="shared" si="23"/>
        <v>0</v>
      </c>
      <c r="I26" s="15">
        <f t="shared" si="23"/>
        <v>0</v>
      </c>
      <c r="J26" s="14">
        <f t="shared" ref="J26" si="24">M26+P26</f>
        <v>0</v>
      </c>
      <c r="K26" s="15">
        <f t="shared" ref="K26:P26" si="25">K27</f>
        <v>0</v>
      </c>
      <c r="L26" s="15">
        <f t="shared" si="25"/>
        <v>0</v>
      </c>
      <c r="M26" s="15">
        <f t="shared" si="25"/>
        <v>0</v>
      </c>
      <c r="N26" s="15">
        <f t="shared" si="25"/>
        <v>0</v>
      </c>
      <c r="O26" s="15">
        <f t="shared" si="25"/>
        <v>0</v>
      </c>
      <c r="P26" s="15">
        <f t="shared" si="25"/>
        <v>0</v>
      </c>
      <c r="Q26" s="14">
        <f t="shared" ref="Q26" si="26">E26+J26</f>
        <v>30000</v>
      </c>
    </row>
    <row r="27" spans="1:17" ht="18" customHeight="1" x14ac:dyDescent="0.2">
      <c r="A27" s="47" t="s">
        <v>160</v>
      </c>
      <c r="B27" s="47" t="s">
        <v>161</v>
      </c>
      <c r="C27" s="47" t="s">
        <v>137</v>
      </c>
      <c r="D27" s="18" t="s">
        <v>259</v>
      </c>
      <c r="E27" s="19">
        <f t="shared" ref="E27:E28" si="27">F27+I27</f>
        <v>30000</v>
      </c>
      <c r="F27" s="20">
        <v>30000</v>
      </c>
      <c r="G27" s="20"/>
      <c r="H27" s="20"/>
      <c r="I27" s="20"/>
      <c r="J27" s="19">
        <f t="shared" ref="J27:J28" si="28">M27+P27</f>
        <v>0</v>
      </c>
      <c r="K27" s="20"/>
      <c r="L27" s="20"/>
      <c r="M27" s="20"/>
      <c r="N27" s="20"/>
      <c r="O27" s="20"/>
      <c r="P27" s="20"/>
      <c r="Q27" s="19">
        <f t="shared" ref="Q27:Q28" si="29">E27+J27</f>
        <v>30000</v>
      </c>
    </row>
    <row r="28" spans="1:17" ht="18.75" customHeight="1" x14ac:dyDescent="0.2">
      <c r="A28" s="43" t="s">
        <v>403</v>
      </c>
      <c r="B28" s="43" t="s">
        <v>114</v>
      </c>
      <c r="C28" s="43" t="s">
        <v>114</v>
      </c>
      <c r="D28" s="13" t="s">
        <v>404</v>
      </c>
      <c r="E28" s="14">
        <f t="shared" si="27"/>
        <v>400000</v>
      </c>
      <c r="F28" s="15">
        <f>F29</f>
        <v>400000</v>
      </c>
      <c r="G28" s="15">
        <f t="shared" ref="G28:I28" si="30">G29</f>
        <v>0</v>
      </c>
      <c r="H28" s="15">
        <f t="shared" si="30"/>
        <v>254600</v>
      </c>
      <c r="I28" s="15">
        <f t="shared" si="30"/>
        <v>0</v>
      </c>
      <c r="J28" s="14">
        <f t="shared" si="28"/>
        <v>0</v>
      </c>
      <c r="K28" s="15">
        <f t="shared" ref="K28:P28" si="31">K29</f>
        <v>0</v>
      </c>
      <c r="L28" s="15">
        <f t="shared" si="31"/>
        <v>0</v>
      </c>
      <c r="M28" s="15">
        <f t="shared" si="31"/>
        <v>0</v>
      </c>
      <c r="N28" s="15">
        <f t="shared" si="31"/>
        <v>0</v>
      </c>
      <c r="O28" s="15">
        <f t="shared" si="31"/>
        <v>0</v>
      </c>
      <c r="P28" s="15">
        <f t="shared" si="31"/>
        <v>0</v>
      </c>
      <c r="Q28" s="14">
        <f t="shared" si="29"/>
        <v>400000</v>
      </c>
    </row>
    <row r="29" spans="1:17" ht="28.5" customHeight="1" x14ac:dyDescent="0.2">
      <c r="A29" s="47" t="s">
        <v>405</v>
      </c>
      <c r="B29" s="47" t="s">
        <v>406</v>
      </c>
      <c r="C29" s="47" t="s">
        <v>137</v>
      </c>
      <c r="D29" s="18" t="s">
        <v>407</v>
      </c>
      <c r="E29" s="19">
        <f t="shared" ref="E29:E30" si="32">F29+I29</f>
        <v>400000</v>
      </c>
      <c r="F29" s="20">
        <v>400000</v>
      </c>
      <c r="G29" s="20"/>
      <c r="H29" s="20">
        <f>200600+54000</f>
        <v>254600</v>
      </c>
      <c r="I29" s="20"/>
      <c r="J29" s="19">
        <f t="shared" ref="J29:J30" si="33">M29+P29</f>
        <v>0</v>
      </c>
      <c r="K29" s="20"/>
      <c r="L29" s="20"/>
      <c r="M29" s="20"/>
      <c r="N29" s="20"/>
      <c r="O29" s="20"/>
      <c r="P29" s="20"/>
      <c r="Q29" s="19">
        <f t="shared" ref="Q29:Q30" si="34">E29+J29</f>
        <v>400000</v>
      </c>
    </row>
    <row r="30" spans="1:17" ht="36.75" customHeight="1" x14ac:dyDescent="0.2">
      <c r="A30" s="43" t="s">
        <v>428</v>
      </c>
      <c r="B30" s="43" t="s">
        <v>114</v>
      </c>
      <c r="C30" s="43" t="s">
        <v>114</v>
      </c>
      <c r="D30" s="13" t="s">
        <v>438</v>
      </c>
      <c r="E30" s="14">
        <f t="shared" si="32"/>
        <v>0</v>
      </c>
      <c r="F30" s="15">
        <f>F31</f>
        <v>0</v>
      </c>
      <c r="G30" s="15">
        <f t="shared" ref="G30:I30" si="35">G31</f>
        <v>0</v>
      </c>
      <c r="H30" s="15">
        <f t="shared" si="35"/>
        <v>0</v>
      </c>
      <c r="I30" s="15">
        <f t="shared" si="35"/>
        <v>0</v>
      </c>
      <c r="J30" s="14">
        <f t="shared" si="33"/>
        <v>3100000</v>
      </c>
      <c r="K30" s="15">
        <f t="shared" ref="K30:P30" si="36">K31</f>
        <v>3100000</v>
      </c>
      <c r="L30" s="15">
        <f t="shared" si="36"/>
        <v>3100000</v>
      </c>
      <c r="M30" s="15">
        <f t="shared" si="36"/>
        <v>0</v>
      </c>
      <c r="N30" s="15">
        <f t="shared" si="36"/>
        <v>0</v>
      </c>
      <c r="O30" s="15">
        <f t="shared" si="36"/>
        <v>0</v>
      </c>
      <c r="P30" s="15">
        <f t="shared" si="36"/>
        <v>3100000</v>
      </c>
      <c r="Q30" s="14">
        <f t="shared" si="34"/>
        <v>3100000</v>
      </c>
    </row>
    <row r="31" spans="1:17" ht="49.5" customHeight="1" x14ac:dyDescent="0.2">
      <c r="A31" s="47" t="s">
        <v>429</v>
      </c>
      <c r="B31" s="47" t="s">
        <v>430</v>
      </c>
      <c r="C31" s="47" t="s">
        <v>137</v>
      </c>
      <c r="D31" s="18" t="s">
        <v>437</v>
      </c>
      <c r="E31" s="19">
        <f t="shared" ref="E31" si="37">F31+I31</f>
        <v>0</v>
      </c>
      <c r="F31" s="20"/>
      <c r="G31" s="20"/>
      <c r="H31" s="20"/>
      <c r="I31" s="20"/>
      <c r="J31" s="19">
        <f t="shared" ref="J31" si="38">M31+P31</f>
        <v>3100000</v>
      </c>
      <c r="K31" s="20">
        <v>3100000</v>
      </c>
      <c r="L31" s="20">
        <v>3100000</v>
      </c>
      <c r="M31" s="20"/>
      <c r="N31" s="20"/>
      <c r="O31" s="20"/>
      <c r="P31" s="20">
        <v>3100000</v>
      </c>
      <c r="Q31" s="19">
        <f t="shared" ref="Q31" si="39">E31+J31</f>
        <v>3100000</v>
      </c>
    </row>
    <row r="32" spans="1:17" ht="18.75" customHeight="1" x14ac:dyDescent="0.2">
      <c r="A32" s="6" t="s">
        <v>114</v>
      </c>
      <c r="B32" s="6">
        <v>3000</v>
      </c>
      <c r="C32" s="28" t="s">
        <v>114</v>
      </c>
      <c r="D32" s="8" t="s">
        <v>117</v>
      </c>
      <c r="E32" s="9">
        <f t="shared" ref="E32:E119" si="40">F32+I32</f>
        <v>26493138</v>
      </c>
      <c r="F32" s="10">
        <f>F33+F36+F37+F38+F39+F43+F45+F52+F53+F54+F55+F58+F59</f>
        <v>26436138</v>
      </c>
      <c r="G32" s="10">
        <f>G33+G36+G37+G38+G39+G43+G45+G52+G53+G54+G55+G58+G59</f>
        <v>13968776</v>
      </c>
      <c r="H32" s="10">
        <f t="shared" ref="H32:I32" si="41">H33+H36+H37+H38+H39+H43+H45+H52+H53+H54+H55+H58+H59</f>
        <v>649325</v>
      </c>
      <c r="I32" s="10">
        <f t="shared" si="41"/>
        <v>57000</v>
      </c>
      <c r="J32" s="9">
        <f t="shared" si="7"/>
        <v>400000</v>
      </c>
      <c r="K32" s="10">
        <f t="shared" ref="K32:P32" si="42">K33+K36+K37+K38+K39+K43+K45+K52+K53+K54+K55+K58+K59</f>
        <v>0</v>
      </c>
      <c r="L32" s="10">
        <f t="shared" si="42"/>
        <v>0</v>
      </c>
      <c r="M32" s="10">
        <f t="shared" si="42"/>
        <v>400000</v>
      </c>
      <c r="N32" s="10">
        <f t="shared" si="42"/>
        <v>0</v>
      </c>
      <c r="O32" s="10">
        <f t="shared" si="42"/>
        <v>0</v>
      </c>
      <c r="P32" s="10">
        <f t="shared" si="42"/>
        <v>0</v>
      </c>
      <c r="Q32" s="9">
        <f t="shared" si="3"/>
        <v>26893138</v>
      </c>
    </row>
    <row r="33" spans="1:17" ht="33.75" customHeight="1" x14ac:dyDescent="0.2">
      <c r="A33" s="43" t="s">
        <v>164</v>
      </c>
      <c r="B33" s="43" t="s">
        <v>114</v>
      </c>
      <c r="C33" s="43" t="s">
        <v>114</v>
      </c>
      <c r="D33" s="46" t="s">
        <v>383</v>
      </c>
      <c r="E33" s="14">
        <f t="shared" si="40"/>
        <v>10000</v>
      </c>
      <c r="F33" s="15">
        <f>F34+F35</f>
        <v>10000</v>
      </c>
      <c r="G33" s="15">
        <f t="shared" ref="G33:I33" si="43">G34+G35</f>
        <v>0</v>
      </c>
      <c r="H33" s="15">
        <f t="shared" si="43"/>
        <v>0</v>
      </c>
      <c r="I33" s="15">
        <f t="shared" si="43"/>
        <v>0</v>
      </c>
      <c r="J33" s="14">
        <f t="shared" si="7"/>
        <v>0</v>
      </c>
      <c r="K33" s="15">
        <f t="shared" ref="K33:P33" si="44">K34+K35</f>
        <v>0</v>
      </c>
      <c r="L33" s="15">
        <f t="shared" si="44"/>
        <v>0</v>
      </c>
      <c r="M33" s="15">
        <f t="shared" si="44"/>
        <v>0</v>
      </c>
      <c r="N33" s="15">
        <f t="shared" si="44"/>
        <v>0</v>
      </c>
      <c r="O33" s="15">
        <f t="shared" si="44"/>
        <v>0</v>
      </c>
      <c r="P33" s="15">
        <f t="shared" si="44"/>
        <v>0</v>
      </c>
      <c r="Q33" s="14">
        <f t="shared" si="3"/>
        <v>10000</v>
      </c>
    </row>
    <row r="34" spans="1:17" ht="33.75" hidden="1" customHeight="1" x14ac:dyDescent="0.2">
      <c r="A34" s="47" t="s">
        <v>334</v>
      </c>
      <c r="B34" s="47" t="s">
        <v>335</v>
      </c>
      <c r="C34" s="47" t="s">
        <v>27</v>
      </c>
      <c r="D34" s="48" t="s">
        <v>336</v>
      </c>
      <c r="E34" s="19">
        <f t="shared" ref="E34" si="45">F34+I34</f>
        <v>0</v>
      </c>
      <c r="F34" s="20"/>
      <c r="G34" s="20"/>
      <c r="H34" s="20"/>
      <c r="I34" s="20"/>
      <c r="J34" s="19">
        <f t="shared" ref="J34" si="46">M34+P34</f>
        <v>0</v>
      </c>
      <c r="K34" s="20"/>
      <c r="L34" s="20"/>
      <c r="M34" s="20"/>
      <c r="N34" s="20"/>
      <c r="O34" s="20"/>
      <c r="P34" s="20"/>
      <c r="Q34" s="19">
        <f t="shared" ref="Q34" si="47">E34+J34</f>
        <v>0</v>
      </c>
    </row>
    <row r="35" spans="1:17" ht="18.75" customHeight="1" x14ac:dyDescent="0.2">
      <c r="A35" s="47" t="s">
        <v>165</v>
      </c>
      <c r="B35" s="47" t="s">
        <v>166</v>
      </c>
      <c r="C35" s="47" t="s">
        <v>167</v>
      </c>
      <c r="D35" s="48" t="s">
        <v>168</v>
      </c>
      <c r="E35" s="19">
        <f t="shared" si="40"/>
        <v>10000</v>
      </c>
      <c r="F35" s="20">
        <v>10000</v>
      </c>
      <c r="G35" s="20"/>
      <c r="H35" s="20"/>
      <c r="I35" s="20"/>
      <c r="J35" s="19">
        <f t="shared" si="7"/>
        <v>0</v>
      </c>
      <c r="K35" s="20"/>
      <c r="L35" s="20"/>
      <c r="M35" s="20"/>
      <c r="N35" s="20"/>
      <c r="O35" s="20"/>
      <c r="P35" s="20"/>
      <c r="Q35" s="19">
        <f t="shared" si="3"/>
        <v>10000</v>
      </c>
    </row>
    <row r="36" spans="1:17" ht="34.5" customHeight="1" x14ac:dyDescent="0.2">
      <c r="A36" s="43" t="s">
        <v>169</v>
      </c>
      <c r="B36" s="43" t="s">
        <v>170</v>
      </c>
      <c r="C36" s="43" t="s">
        <v>167</v>
      </c>
      <c r="D36" s="46" t="s">
        <v>173</v>
      </c>
      <c r="E36" s="14">
        <f t="shared" ref="E36" si="48">F36+I36</f>
        <v>28900</v>
      </c>
      <c r="F36" s="15">
        <v>28900</v>
      </c>
      <c r="G36" s="15"/>
      <c r="H36" s="15"/>
      <c r="I36" s="15"/>
      <c r="J36" s="14">
        <f t="shared" ref="J36" si="49">M36+P36</f>
        <v>0</v>
      </c>
      <c r="K36" s="15"/>
      <c r="L36" s="15"/>
      <c r="M36" s="15"/>
      <c r="N36" s="15"/>
      <c r="O36" s="15"/>
      <c r="P36" s="15"/>
      <c r="Q36" s="14">
        <f t="shared" ref="Q36" si="50">E36+J36</f>
        <v>28900</v>
      </c>
    </row>
    <row r="37" spans="1:17" ht="15.75" hidden="1" x14ac:dyDescent="0.2">
      <c r="A37" s="43" t="s">
        <v>171</v>
      </c>
      <c r="B37" s="43" t="s">
        <v>172</v>
      </c>
      <c r="C37" s="43" t="s">
        <v>27</v>
      </c>
      <c r="D37" s="46" t="s">
        <v>174</v>
      </c>
      <c r="E37" s="14">
        <f t="shared" ref="E37:E39" si="51">F37+I37</f>
        <v>0</v>
      </c>
      <c r="F37" s="15"/>
      <c r="G37" s="15"/>
      <c r="H37" s="15"/>
      <c r="I37" s="15"/>
      <c r="J37" s="14">
        <f t="shared" ref="J37:J39" si="52">M37+P37</f>
        <v>0</v>
      </c>
      <c r="K37" s="15"/>
      <c r="L37" s="15"/>
      <c r="M37" s="15"/>
      <c r="N37" s="15"/>
      <c r="O37" s="15"/>
      <c r="P37" s="15"/>
      <c r="Q37" s="14">
        <f t="shared" ref="Q37:Q39" si="53">E37+J37</f>
        <v>0</v>
      </c>
    </row>
    <row r="38" spans="1:17" ht="17.25" customHeight="1" x14ac:dyDescent="0.2">
      <c r="A38" s="43" t="s">
        <v>171</v>
      </c>
      <c r="B38" s="43" t="s">
        <v>172</v>
      </c>
      <c r="C38" s="43" t="s">
        <v>27</v>
      </c>
      <c r="D38" s="46" t="s">
        <v>327</v>
      </c>
      <c r="E38" s="14">
        <f t="shared" si="51"/>
        <v>349000</v>
      </c>
      <c r="F38" s="15">
        <f>200000+149000</f>
        <v>349000</v>
      </c>
      <c r="G38" s="15"/>
      <c r="H38" s="15"/>
      <c r="I38" s="15"/>
      <c r="J38" s="14">
        <f t="shared" si="52"/>
        <v>0</v>
      </c>
      <c r="K38" s="15"/>
      <c r="L38" s="15"/>
      <c r="M38" s="15"/>
      <c r="N38" s="15"/>
      <c r="O38" s="15"/>
      <c r="P38" s="15"/>
      <c r="Q38" s="14">
        <f t="shared" si="53"/>
        <v>349000</v>
      </c>
    </row>
    <row r="39" spans="1:17" ht="31.5" customHeight="1" x14ac:dyDescent="0.2">
      <c r="A39" s="43" t="s">
        <v>175</v>
      </c>
      <c r="B39" s="43" t="s">
        <v>114</v>
      </c>
      <c r="C39" s="43" t="s">
        <v>114</v>
      </c>
      <c r="D39" s="46" t="s">
        <v>176</v>
      </c>
      <c r="E39" s="14">
        <f t="shared" si="51"/>
        <v>15103160</v>
      </c>
      <c r="F39" s="15">
        <f>F40</f>
        <v>15073160</v>
      </c>
      <c r="G39" s="15">
        <f t="shared" ref="G39:I39" si="54">G40</f>
        <v>10934850</v>
      </c>
      <c r="H39" s="15">
        <f t="shared" si="54"/>
        <v>516060</v>
      </c>
      <c r="I39" s="15">
        <f t="shared" si="54"/>
        <v>30000</v>
      </c>
      <c r="J39" s="14">
        <f t="shared" si="52"/>
        <v>400000</v>
      </c>
      <c r="K39" s="15">
        <f t="shared" ref="K39:P39" si="55">K40</f>
        <v>0</v>
      </c>
      <c r="L39" s="15">
        <f t="shared" si="55"/>
        <v>0</v>
      </c>
      <c r="M39" s="15">
        <f t="shared" si="55"/>
        <v>400000</v>
      </c>
      <c r="N39" s="15">
        <f t="shared" si="55"/>
        <v>0</v>
      </c>
      <c r="O39" s="15">
        <f t="shared" si="55"/>
        <v>0</v>
      </c>
      <c r="P39" s="15">
        <f t="shared" si="55"/>
        <v>0</v>
      </c>
      <c r="Q39" s="14">
        <f t="shared" si="53"/>
        <v>15503160</v>
      </c>
    </row>
    <row r="40" spans="1:17" ht="31.5" customHeight="1" x14ac:dyDescent="0.2">
      <c r="A40" s="47" t="s">
        <v>177</v>
      </c>
      <c r="B40" s="47" t="s">
        <v>178</v>
      </c>
      <c r="C40" s="47" t="s">
        <v>73</v>
      </c>
      <c r="D40" s="48" t="s">
        <v>230</v>
      </c>
      <c r="E40" s="19">
        <f t="shared" ref="E40" si="56">F40+I40</f>
        <v>15103160</v>
      </c>
      <c r="F40" s="20">
        <f>F41+F42</f>
        <v>15073160</v>
      </c>
      <c r="G40" s="20">
        <f t="shared" ref="G40:I40" si="57">G41+G42</f>
        <v>10934850</v>
      </c>
      <c r="H40" s="20">
        <f t="shared" si="57"/>
        <v>516060</v>
      </c>
      <c r="I40" s="20">
        <f t="shared" si="57"/>
        <v>30000</v>
      </c>
      <c r="J40" s="19">
        <f t="shared" ref="J40" si="58">M40+P40</f>
        <v>400000</v>
      </c>
      <c r="K40" s="20">
        <f t="shared" ref="K40:P40" si="59">K41+K42</f>
        <v>0</v>
      </c>
      <c r="L40" s="20">
        <f t="shared" si="59"/>
        <v>0</v>
      </c>
      <c r="M40" s="20">
        <f t="shared" si="59"/>
        <v>400000</v>
      </c>
      <c r="N40" s="20">
        <f t="shared" si="59"/>
        <v>0</v>
      </c>
      <c r="O40" s="20">
        <f t="shared" si="59"/>
        <v>0</v>
      </c>
      <c r="P40" s="20">
        <f t="shared" si="59"/>
        <v>0</v>
      </c>
      <c r="Q40" s="19">
        <f t="shared" ref="Q40" si="60">E40+J40</f>
        <v>15503160</v>
      </c>
    </row>
    <row r="41" spans="1:17" ht="44.25" customHeight="1" x14ac:dyDescent="0.2">
      <c r="A41" s="47" t="s">
        <v>177</v>
      </c>
      <c r="B41" s="47" t="s">
        <v>178</v>
      </c>
      <c r="C41" s="47" t="s">
        <v>73</v>
      </c>
      <c r="D41" s="48" t="s">
        <v>229</v>
      </c>
      <c r="E41" s="19">
        <f t="shared" ref="E41:E42" si="61">F41+I41</f>
        <v>11855070</v>
      </c>
      <c r="F41" s="20">
        <f>10903220+921850</f>
        <v>11825070</v>
      </c>
      <c r="G41" s="20">
        <f>8372100+761100</f>
        <v>9133200</v>
      </c>
      <c r="H41" s="20">
        <v>281100</v>
      </c>
      <c r="I41" s="20">
        <v>30000</v>
      </c>
      <c r="J41" s="19">
        <f t="shared" ref="J41:J42" si="62">M41+P41</f>
        <v>0</v>
      </c>
      <c r="K41" s="20"/>
      <c r="L41" s="20"/>
      <c r="M41" s="20"/>
      <c r="N41" s="20"/>
      <c r="O41" s="20"/>
      <c r="P41" s="20"/>
      <c r="Q41" s="19">
        <f t="shared" ref="Q41:Q42" si="63">E41+J41</f>
        <v>11855070</v>
      </c>
    </row>
    <row r="42" spans="1:17" ht="33.75" customHeight="1" x14ac:dyDescent="0.2">
      <c r="A42" s="47" t="s">
        <v>177</v>
      </c>
      <c r="B42" s="47" t="s">
        <v>178</v>
      </c>
      <c r="C42" s="47" t="s">
        <v>73</v>
      </c>
      <c r="D42" s="48" t="s">
        <v>358</v>
      </c>
      <c r="E42" s="19">
        <f t="shared" si="61"/>
        <v>3248090</v>
      </c>
      <c r="F42" s="20">
        <f>3066780+181310</f>
        <v>3248090</v>
      </c>
      <c r="G42" s="20">
        <f>1651500+150150</f>
        <v>1801650</v>
      </c>
      <c r="H42" s="20">
        <v>234960</v>
      </c>
      <c r="I42" s="20"/>
      <c r="J42" s="19">
        <f t="shared" si="62"/>
        <v>400000</v>
      </c>
      <c r="K42" s="20"/>
      <c r="L42" s="20"/>
      <c r="M42" s="20">
        <v>400000</v>
      </c>
      <c r="N42" s="20"/>
      <c r="O42" s="20"/>
      <c r="P42" s="20"/>
      <c r="Q42" s="19">
        <f t="shared" si="63"/>
        <v>3648090</v>
      </c>
    </row>
    <row r="43" spans="1:17" ht="17.25" customHeight="1" x14ac:dyDescent="0.2">
      <c r="A43" s="43" t="s">
        <v>162</v>
      </c>
      <c r="B43" s="11" t="s">
        <v>114</v>
      </c>
      <c r="C43" s="12" t="s">
        <v>114</v>
      </c>
      <c r="D43" s="13" t="s">
        <v>163</v>
      </c>
      <c r="E43" s="14">
        <f t="shared" si="40"/>
        <v>55000</v>
      </c>
      <c r="F43" s="15">
        <f>F44</f>
        <v>55000</v>
      </c>
      <c r="G43" s="15">
        <f t="shared" ref="G43:I43" si="64">G44</f>
        <v>0</v>
      </c>
      <c r="H43" s="15">
        <f t="shared" si="64"/>
        <v>0</v>
      </c>
      <c r="I43" s="15">
        <f t="shared" si="64"/>
        <v>0</v>
      </c>
      <c r="J43" s="14">
        <f t="shared" si="7"/>
        <v>0</v>
      </c>
      <c r="K43" s="15">
        <f t="shared" ref="K43:P43" si="65">K44</f>
        <v>0</v>
      </c>
      <c r="L43" s="15">
        <f t="shared" si="65"/>
        <v>0</v>
      </c>
      <c r="M43" s="15">
        <f t="shared" si="65"/>
        <v>0</v>
      </c>
      <c r="N43" s="15">
        <f t="shared" si="65"/>
        <v>0</v>
      </c>
      <c r="O43" s="15">
        <f t="shared" si="65"/>
        <v>0</v>
      </c>
      <c r="P43" s="15">
        <f t="shared" si="65"/>
        <v>0</v>
      </c>
      <c r="Q43" s="14">
        <f t="shared" si="3"/>
        <v>55000</v>
      </c>
    </row>
    <row r="44" spans="1:17" ht="17.25" customHeight="1" x14ac:dyDescent="0.2">
      <c r="A44" s="16" t="s">
        <v>22</v>
      </c>
      <c r="B44" s="16" t="s">
        <v>24</v>
      </c>
      <c r="C44" s="17" t="s">
        <v>23</v>
      </c>
      <c r="D44" s="18" t="s">
        <v>25</v>
      </c>
      <c r="E44" s="19">
        <f t="shared" si="40"/>
        <v>55000</v>
      </c>
      <c r="F44" s="20">
        <v>55000</v>
      </c>
      <c r="G44" s="20"/>
      <c r="H44" s="20"/>
      <c r="I44" s="20"/>
      <c r="J44" s="19">
        <f t="shared" si="7"/>
        <v>0</v>
      </c>
      <c r="K44" s="20"/>
      <c r="L44" s="20"/>
      <c r="M44" s="20"/>
      <c r="N44" s="20"/>
      <c r="O44" s="20"/>
      <c r="P44" s="20"/>
      <c r="Q44" s="19">
        <f t="shared" si="3"/>
        <v>55000</v>
      </c>
    </row>
    <row r="45" spans="1:17" ht="18.75" customHeight="1" x14ac:dyDescent="0.2">
      <c r="A45" s="43" t="s">
        <v>191</v>
      </c>
      <c r="B45" s="43" t="s">
        <v>114</v>
      </c>
      <c r="C45" s="43" t="s">
        <v>114</v>
      </c>
      <c r="D45" s="46" t="s">
        <v>190</v>
      </c>
      <c r="E45" s="14">
        <f t="shared" si="40"/>
        <v>3008700</v>
      </c>
      <c r="F45" s="15">
        <f>F46+F47+F48+F51</f>
        <v>3008700</v>
      </c>
      <c r="G45" s="15">
        <f t="shared" ref="G45:I45" si="66">G46+G47+G48+G51</f>
        <v>2270000</v>
      </c>
      <c r="H45" s="15">
        <f t="shared" si="66"/>
        <v>133265</v>
      </c>
      <c r="I45" s="15">
        <f t="shared" si="66"/>
        <v>0</v>
      </c>
      <c r="J45" s="14">
        <f t="shared" si="7"/>
        <v>0</v>
      </c>
      <c r="K45" s="15">
        <f t="shared" ref="K45:P45" si="67">K46+K47+K48+K51</f>
        <v>0</v>
      </c>
      <c r="L45" s="15">
        <f t="shared" si="67"/>
        <v>0</v>
      </c>
      <c r="M45" s="15">
        <f t="shared" si="67"/>
        <v>0</v>
      </c>
      <c r="N45" s="15">
        <f t="shared" si="67"/>
        <v>0</v>
      </c>
      <c r="O45" s="15">
        <f t="shared" si="67"/>
        <v>0</v>
      </c>
      <c r="P45" s="15">
        <f t="shared" si="67"/>
        <v>0</v>
      </c>
      <c r="Q45" s="14">
        <f t="shared" si="3"/>
        <v>3008700</v>
      </c>
    </row>
    <row r="46" spans="1:17" ht="51" customHeight="1" x14ac:dyDescent="0.2">
      <c r="A46" s="47" t="s">
        <v>192</v>
      </c>
      <c r="B46" s="16">
        <v>3121</v>
      </c>
      <c r="C46" s="49">
        <v>1040</v>
      </c>
      <c r="D46" s="18" t="s">
        <v>394</v>
      </c>
      <c r="E46" s="19">
        <f t="shared" si="40"/>
        <v>3008700</v>
      </c>
      <c r="F46" s="20">
        <f>2800000+185300+23400</f>
        <v>3008700</v>
      </c>
      <c r="G46" s="20">
        <f>2100000+170000</f>
        <v>2270000</v>
      </c>
      <c r="H46" s="20">
        <f>112865+20400</f>
        <v>133265</v>
      </c>
      <c r="I46" s="20"/>
      <c r="J46" s="19">
        <f t="shared" si="7"/>
        <v>0</v>
      </c>
      <c r="K46" s="20"/>
      <c r="L46" s="20"/>
      <c r="M46" s="20"/>
      <c r="N46" s="20"/>
      <c r="O46" s="20"/>
      <c r="P46" s="20"/>
      <c r="Q46" s="19">
        <f t="shared" si="3"/>
        <v>3008700</v>
      </c>
    </row>
    <row r="47" spans="1:17" ht="15.75" hidden="1" x14ac:dyDescent="0.2">
      <c r="A47" s="47" t="s">
        <v>193</v>
      </c>
      <c r="B47" s="16">
        <v>3122</v>
      </c>
      <c r="C47" s="49">
        <v>1040</v>
      </c>
      <c r="D47" s="18" t="s">
        <v>194</v>
      </c>
      <c r="E47" s="19">
        <f t="shared" ref="E47" si="68">F47+I47</f>
        <v>0</v>
      </c>
      <c r="F47" s="20"/>
      <c r="G47" s="20"/>
      <c r="H47" s="20"/>
      <c r="I47" s="20"/>
      <c r="J47" s="19">
        <f t="shared" ref="J47" si="69">M47+P47</f>
        <v>0</v>
      </c>
      <c r="K47" s="20"/>
      <c r="L47" s="20"/>
      <c r="M47" s="20"/>
      <c r="N47" s="20"/>
      <c r="O47" s="20"/>
      <c r="P47" s="20"/>
      <c r="Q47" s="19">
        <f t="shared" ref="Q47" si="70">E47+J47</f>
        <v>0</v>
      </c>
    </row>
    <row r="48" spans="1:17" ht="21" hidden="1" customHeight="1" x14ac:dyDescent="0.2">
      <c r="A48" s="47" t="s">
        <v>195</v>
      </c>
      <c r="B48" s="16">
        <v>3123</v>
      </c>
      <c r="C48" s="49">
        <v>1040</v>
      </c>
      <c r="D48" s="18" t="s">
        <v>196</v>
      </c>
      <c r="E48" s="19">
        <f t="shared" ref="E48:E49" si="71">F48+I48</f>
        <v>0</v>
      </c>
      <c r="F48" s="20"/>
      <c r="G48" s="20"/>
      <c r="H48" s="20"/>
      <c r="I48" s="20"/>
      <c r="J48" s="19">
        <f t="shared" ref="J48:J49" si="72">M48+P48</f>
        <v>0</v>
      </c>
      <c r="K48" s="20"/>
      <c r="L48" s="20"/>
      <c r="M48" s="20"/>
      <c r="N48" s="20"/>
      <c r="O48" s="20"/>
      <c r="P48" s="20"/>
      <c r="Q48" s="19">
        <f t="shared" ref="Q48:Q49" si="73">E48+J48</f>
        <v>0</v>
      </c>
    </row>
    <row r="49" spans="1:17" ht="33" hidden="1" customHeight="1" x14ac:dyDescent="0.2">
      <c r="A49" s="43" t="s">
        <v>197</v>
      </c>
      <c r="B49" s="43" t="s">
        <v>198</v>
      </c>
      <c r="C49" s="43" t="s">
        <v>114</v>
      </c>
      <c r="D49" s="46" t="s">
        <v>199</v>
      </c>
      <c r="E49" s="14">
        <f t="shared" si="71"/>
        <v>0</v>
      </c>
      <c r="F49" s="15">
        <f>F50</f>
        <v>0</v>
      </c>
      <c r="G49" s="15">
        <f t="shared" ref="G49:I49" si="74">G50</f>
        <v>0</v>
      </c>
      <c r="H49" s="15">
        <f t="shared" si="74"/>
        <v>0</v>
      </c>
      <c r="I49" s="15">
        <f t="shared" si="74"/>
        <v>0</v>
      </c>
      <c r="J49" s="14">
        <f t="shared" si="72"/>
        <v>0</v>
      </c>
      <c r="K49" s="15">
        <f t="shared" ref="K49:P49" si="75">K50</f>
        <v>0</v>
      </c>
      <c r="L49" s="15">
        <f t="shared" si="75"/>
        <v>0</v>
      </c>
      <c r="M49" s="15">
        <f t="shared" si="75"/>
        <v>0</v>
      </c>
      <c r="N49" s="15">
        <f t="shared" si="75"/>
        <v>0</v>
      </c>
      <c r="O49" s="15">
        <f t="shared" si="75"/>
        <v>0</v>
      </c>
      <c r="P49" s="15">
        <f t="shared" si="75"/>
        <v>0</v>
      </c>
      <c r="Q49" s="14">
        <f t="shared" si="73"/>
        <v>0</v>
      </c>
    </row>
    <row r="50" spans="1:17" ht="51.75" hidden="1" customHeight="1" x14ac:dyDescent="0.2">
      <c r="A50" s="47" t="s">
        <v>200</v>
      </c>
      <c r="B50" s="16">
        <v>3131</v>
      </c>
      <c r="C50" s="49">
        <v>1040</v>
      </c>
      <c r="D50" s="18" t="s">
        <v>201</v>
      </c>
      <c r="E50" s="19">
        <f t="shared" ref="E50:E51" si="76">F50+I50</f>
        <v>0</v>
      </c>
      <c r="F50" s="20"/>
      <c r="G50" s="20"/>
      <c r="H50" s="20"/>
      <c r="I50" s="20"/>
      <c r="J50" s="19">
        <f t="shared" ref="J50:J51" si="77">M50+P50</f>
        <v>0</v>
      </c>
      <c r="K50" s="20"/>
      <c r="L50" s="20"/>
      <c r="M50" s="20"/>
      <c r="N50" s="20"/>
      <c r="O50" s="20"/>
      <c r="P50" s="20"/>
      <c r="Q50" s="19">
        <f t="shared" ref="Q50:Q51" si="78">E50+J50</f>
        <v>0</v>
      </c>
    </row>
    <row r="51" spans="1:17" ht="42" hidden="1" customHeight="1" x14ac:dyDescent="0.2">
      <c r="A51" s="47" t="s">
        <v>291</v>
      </c>
      <c r="B51" s="16">
        <v>3124</v>
      </c>
      <c r="C51" s="49">
        <v>1040</v>
      </c>
      <c r="D51" s="18" t="s">
        <v>395</v>
      </c>
      <c r="E51" s="19">
        <f t="shared" si="76"/>
        <v>0</v>
      </c>
      <c r="F51" s="20"/>
      <c r="G51" s="20"/>
      <c r="H51" s="20"/>
      <c r="I51" s="20"/>
      <c r="J51" s="19">
        <f t="shared" si="77"/>
        <v>0</v>
      </c>
      <c r="K51" s="20"/>
      <c r="L51" s="20"/>
      <c r="M51" s="20"/>
      <c r="N51" s="20"/>
      <c r="O51" s="20"/>
      <c r="P51" s="20"/>
      <c r="Q51" s="19">
        <f t="shared" si="78"/>
        <v>0</v>
      </c>
    </row>
    <row r="52" spans="1:17" ht="48.75" hidden="1" customHeight="1" x14ac:dyDescent="0.2">
      <c r="A52" s="43" t="s">
        <v>179</v>
      </c>
      <c r="B52" s="43" t="s">
        <v>180</v>
      </c>
      <c r="C52" s="43" t="s">
        <v>70</v>
      </c>
      <c r="D52" s="46" t="s">
        <v>181</v>
      </c>
      <c r="E52" s="14">
        <f t="shared" ref="E52:E53" si="79">F52+I52</f>
        <v>0</v>
      </c>
      <c r="F52" s="15">
        <f>150000-150000</f>
        <v>0</v>
      </c>
      <c r="G52" s="15"/>
      <c r="H52" s="15"/>
      <c r="I52" s="15"/>
      <c r="J52" s="14">
        <f t="shared" ref="J52:J53" si="80">M52+P52</f>
        <v>0</v>
      </c>
      <c r="K52" s="15"/>
      <c r="L52" s="15"/>
      <c r="M52" s="15"/>
      <c r="N52" s="15"/>
      <c r="O52" s="15"/>
      <c r="P52" s="15"/>
      <c r="Q52" s="14">
        <f t="shared" ref="Q52:Q53" si="81">E52+J52</f>
        <v>0</v>
      </c>
    </row>
    <row r="53" spans="1:17" ht="33.75" customHeight="1" x14ac:dyDescent="0.2">
      <c r="A53" s="43" t="s">
        <v>179</v>
      </c>
      <c r="B53" s="43" t="s">
        <v>180</v>
      </c>
      <c r="C53" s="43" t="s">
        <v>70</v>
      </c>
      <c r="D53" s="46" t="s">
        <v>326</v>
      </c>
      <c r="E53" s="14">
        <f t="shared" si="79"/>
        <v>500000</v>
      </c>
      <c r="F53" s="15">
        <f>570000-70000</f>
        <v>500000</v>
      </c>
      <c r="G53" s="15"/>
      <c r="H53" s="15"/>
      <c r="I53" s="15"/>
      <c r="J53" s="14">
        <f t="shared" si="80"/>
        <v>0</v>
      </c>
      <c r="K53" s="15"/>
      <c r="L53" s="15"/>
      <c r="M53" s="15"/>
      <c r="N53" s="15"/>
      <c r="O53" s="15"/>
      <c r="P53" s="15"/>
      <c r="Q53" s="14">
        <f t="shared" si="81"/>
        <v>500000</v>
      </c>
    </row>
    <row r="54" spans="1:17" ht="35.25" hidden="1" customHeight="1" x14ac:dyDescent="0.2">
      <c r="A54" s="43" t="s">
        <v>182</v>
      </c>
      <c r="B54" s="43" t="s">
        <v>183</v>
      </c>
      <c r="C54" s="43" t="s">
        <v>185</v>
      </c>
      <c r="D54" s="46" t="s">
        <v>184</v>
      </c>
      <c r="E54" s="14">
        <f t="shared" ref="E54:E55" si="82">F54+I54</f>
        <v>0</v>
      </c>
      <c r="F54" s="15"/>
      <c r="G54" s="15"/>
      <c r="H54" s="15"/>
      <c r="I54" s="15"/>
      <c r="J54" s="14">
        <f t="shared" ref="J54:J55" si="83">M54+P54</f>
        <v>0</v>
      </c>
      <c r="K54" s="15"/>
      <c r="L54" s="15"/>
      <c r="M54" s="15"/>
      <c r="N54" s="15"/>
      <c r="O54" s="15"/>
      <c r="P54" s="15"/>
      <c r="Q54" s="14">
        <f t="shared" ref="Q54:Q55" si="84">E54+J54</f>
        <v>0</v>
      </c>
    </row>
    <row r="55" spans="1:17" ht="15.75" x14ac:dyDescent="0.2">
      <c r="A55" s="43" t="s">
        <v>186</v>
      </c>
      <c r="B55" s="43" t="s">
        <v>114</v>
      </c>
      <c r="C55" s="43" t="s">
        <v>114</v>
      </c>
      <c r="D55" s="46" t="s">
        <v>187</v>
      </c>
      <c r="E55" s="14">
        <f t="shared" si="82"/>
        <v>1068162</v>
      </c>
      <c r="F55" s="15">
        <f>F56+F57</f>
        <v>1041162</v>
      </c>
      <c r="G55" s="15">
        <f t="shared" ref="G55:I55" si="85">G56+G57</f>
        <v>354090</v>
      </c>
      <c r="H55" s="15">
        <f t="shared" si="85"/>
        <v>0</v>
      </c>
      <c r="I55" s="15">
        <f t="shared" si="85"/>
        <v>27000</v>
      </c>
      <c r="J55" s="14">
        <f t="shared" si="83"/>
        <v>0</v>
      </c>
      <c r="K55" s="15">
        <f t="shared" ref="K55:P55" si="86">K56+K57</f>
        <v>0</v>
      </c>
      <c r="L55" s="15">
        <f t="shared" si="86"/>
        <v>0</v>
      </c>
      <c r="M55" s="15">
        <f t="shared" si="86"/>
        <v>0</v>
      </c>
      <c r="N55" s="15">
        <f t="shared" si="86"/>
        <v>0</v>
      </c>
      <c r="O55" s="15">
        <f t="shared" si="86"/>
        <v>0</v>
      </c>
      <c r="P55" s="15">
        <f t="shared" si="86"/>
        <v>0</v>
      </c>
      <c r="Q55" s="14">
        <f t="shared" si="84"/>
        <v>1068162</v>
      </c>
    </row>
    <row r="56" spans="1:17" ht="30" customHeight="1" x14ac:dyDescent="0.2">
      <c r="A56" s="16" t="s">
        <v>26</v>
      </c>
      <c r="B56" s="16" t="s">
        <v>28</v>
      </c>
      <c r="C56" s="17" t="s">
        <v>27</v>
      </c>
      <c r="D56" s="18" t="s">
        <v>260</v>
      </c>
      <c r="E56" s="19">
        <f t="shared" si="40"/>
        <v>252300</v>
      </c>
      <c r="F56" s="20">
        <v>225300</v>
      </c>
      <c r="G56" s="20"/>
      <c r="H56" s="20"/>
      <c r="I56" s="20">
        <v>27000</v>
      </c>
      <c r="J56" s="19">
        <f t="shared" si="7"/>
        <v>0</v>
      </c>
      <c r="K56" s="20"/>
      <c r="L56" s="20"/>
      <c r="M56" s="20"/>
      <c r="N56" s="20"/>
      <c r="O56" s="20"/>
      <c r="P56" s="20"/>
      <c r="Q56" s="19">
        <f t="shared" si="3"/>
        <v>252300</v>
      </c>
    </row>
    <row r="57" spans="1:17" ht="46.5" customHeight="1" x14ac:dyDescent="0.2">
      <c r="A57" s="16" t="s">
        <v>381</v>
      </c>
      <c r="B57" s="16">
        <v>3193</v>
      </c>
      <c r="C57" s="17" t="s">
        <v>27</v>
      </c>
      <c r="D57" s="18" t="s">
        <v>439</v>
      </c>
      <c r="E57" s="19">
        <f t="shared" ref="E57" si="87">F57+I57</f>
        <v>815862</v>
      </c>
      <c r="F57" s="20">
        <v>815862</v>
      </c>
      <c r="G57" s="20">
        <v>354090</v>
      </c>
      <c r="H57" s="20"/>
      <c r="I57" s="20"/>
      <c r="J57" s="19">
        <f t="shared" ref="J57" si="88">M57+P57</f>
        <v>0</v>
      </c>
      <c r="K57" s="20"/>
      <c r="L57" s="20"/>
      <c r="M57" s="20"/>
      <c r="N57" s="20"/>
      <c r="O57" s="20"/>
      <c r="P57" s="20"/>
      <c r="Q57" s="19">
        <f t="shared" ref="Q57" si="89">E57+J57</f>
        <v>815862</v>
      </c>
    </row>
    <row r="58" spans="1:17" ht="18.75" customHeight="1" x14ac:dyDescent="0.2">
      <c r="A58" s="11" t="s">
        <v>288</v>
      </c>
      <c r="B58" s="11">
        <v>3210</v>
      </c>
      <c r="C58" s="53">
        <v>1050</v>
      </c>
      <c r="D58" s="13" t="s">
        <v>289</v>
      </c>
      <c r="E58" s="14">
        <f t="shared" ref="E58" si="90">F58+I58</f>
        <v>500000</v>
      </c>
      <c r="F58" s="15">
        <f>200000+100000+200000</f>
        <v>500000</v>
      </c>
      <c r="G58" s="15">
        <f>163935+81967+163934</f>
        <v>409836</v>
      </c>
      <c r="H58" s="15"/>
      <c r="I58" s="15"/>
      <c r="J58" s="14">
        <f t="shared" ref="J58" si="91">M58+P58</f>
        <v>0</v>
      </c>
      <c r="K58" s="15"/>
      <c r="L58" s="15"/>
      <c r="M58" s="15"/>
      <c r="N58" s="15"/>
      <c r="O58" s="15"/>
      <c r="P58" s="15"/>
      <c r="Q58" s="14">
        <f t="shared" ref="Q58" si="92">E58+J58</f>
        <v>500000</v>
      </c>
    </row>
    <row r="59" spans="1:17" ht="15.75" x14ac:dyDescent="0.2">
      <c r="A59" s="43" t="s">
        <v>188</v>
      </c>
      <c r="B59" s="43" t="s">
        <v>114</v>
      </c>
      <c r="C59" s="43" t="s">
        <v>114</v>
      </c>
      <c r="D59" s="46" t="s">
        <v>189</v>
      </c>
      <c r="E59" s="14">
        <f t="shared" si="40"/>
        <v>5870216</v>
      </c>
      <c r="F59" s="15">
        <f>F60</f>
        <v>5870216</v>
      </c>
      <c r="G59" s="15">
        <f t="shared" ref="G59" si="93">G60</f>
        <v>0</v>
      </c>
      <c r="H59" s="15">
        <f t="shared" ref="H59" si="94">H60</f>
        <v>0</v>
      </c>
      <c r="I59" s="15">
        <f t="shared" ref="I59" si="95">I60</f>
        <v>0</v>
      </c>
      <c r="J59" s="14">
        <f t="shared" si="7"/>
        <v>0</v>
      </c>
      <c r="K59" s="15">
        <f t="shared" ref="K59" si="96">K60</f>
        <v>0</v>
      </c>
      <c r="L59" s="15">
        <f t="shared" ref="L59" si="97">L60</f>
        <v>0</v>
      </c>
      <c r="M59" s="15">
        <f t="shared" ref="M59" si="98">M60</f>
        <v>0</v>
      </c>
      <c r="N59" s="15">
        <f t="shared" ref="N59" si="99">N60</f>
        <v>0</v>
      </c>
      <c r="O59" s="15">
        <f t="shared" ref="O59" si="100">O60</f>
        <v>0</v>
      </c>
      <c r="P59" s="15">
        <f t="shared" ref="P59" si="101">P60</f>
        <v>0</v>
      </c>
      <c r="Q59" s="14">
        <f t="shared" si="3"/>
        <v>5870216</v>
      </c>
    </row>
    <row r="60" spans="1:17" ht="16.5" customHeight="1" x14ac:dyDescent="0.2">
      <c r="A60" s="16" t="s">
        <v>29</v>
      </c>
      <c r="B60" s="16" t="s">
        <v>31</v>
      </c>
      <c r="C60" s="17" t="s">
        <v>30</v>
      </c>
      <c r="D60" s="18" t="s">
        <v>32</v>
      </c>
      <c r="E60" s="19">
        <f t="shared" si="40"/>
        <v>5870216</v>
      </c>
      <c r="F60" s="20">
        <f>4300216+70000+300000+400000+300000+50000+400000+50000</f>
        <v>5870216</v>
      </c>
      <c r="G60" s="20"/>
      <c r="H60" s="20"/>
      <c r="I60" s="20"/>
      <c r="J60" s="19">
        <f t="shared" si="7"/>
        <v>0</v>
      </c>
      <c r="K60" s="20"/>
      <c r="L60" s="20"/>
      <c r="M60" s="20"/>
      <c r="N60" s="20"/>
      <c r="O60" s="20"/>
      <c r="P60" s="20"/>
      <c r="Q60" s="19">
        <f t="shared" si="3"/>
        <v>5870216</v>
      </c>
    </row>
    <row r="61" spans="1:17" ht="26.25" hidden="1" customHeight="1" x14ac:dyDescent="0.2">
      <c r="A61" s="6" t="s">
        <v>114</v>
      </c>
      <c r="B61" s="27" t="s">
        <v>132</v>
      </c>
      <c r="C61" s="7" t="s">
        <v>114</v>
      </c>
      <c r="D61" s="8" t="s">
        <v>133</v>
      </c>
      <c r="E61" s="9">
        <f t="shared" si="40"/>
        <v>0</v>
      </c>
      <c r="F61" s="10">
        <f>F62</f>
        <v>0</v>
      </c>
      <c r="G61" s="10">
        <f t="shared" ref="G61:I61" si="102">G62</f>
        <v>0</v>
      </c>
      <c r="H61" s="10">
        <f t="shared" si="102"/>
        <v>0</v>
      </c>
      <c r="I61" s="10">
        <f t="shared" si="102"/>
        <v>0</v>
      </c>
      <c r="J61" s="9">
        <f>M61+P61</f>
        <v>0</v>
      </c>
      <c r="K61" s="10">
        <f t="shared" ref="K61:P61" si="103">K62</f>
        <v>0</v>
      </c>
      <c r="L61" s="10">
        <f t="shared" si="103"/>
        <v>0</v>
      </c>
      <c r="M61" s="10">
        <f t="shared" si="103"/>
        <v>0</v>
      </c>
      <c r="N61" s="10">
        <f t="shared" si="103"/>
        <v>0</v>
      </c>
      <c r="O61" s="10">
        <f t="shared" si="103"/>
        <v>0</v>
      </c>
      <c r="P61" s="10">
        <f t="shared" si="103"/>
        <v>0</v>
      </c>
      <c r="Q61" s="9">
        <f t="shared" ref="Q61:Q62" si="104">E61+J61</f>
        <v>0</v>
      </c>
    </row>
    <row r="62" spans="1:17" ht="26.25" hidden="1" customHeight="1" x14ac:dyDescent="0.2">
      <c r="A62" s="11" t="s">
        <v>263</v>
      </c>
      <c r="B62" s="11">
        <v>4060</v>
      </c>
      <c r="C62" s="43" t="s">
        <v>96</v>
      </c>
      <c r="D62" s="13" t="s">
        <v>264</v>
      </c>
      <c r="E62" s="14">
        <f t="shared" si="40"/>
        <v>0</v>
      </c>
      <c r="F62" s="15"/>
      <c r="G62" s="15"/>
      <c r="H62" s="15"/>
      <c r="I62" s="15"/>
      <c r="J62" s="14">
        <f>M62+P62</f>
        <v>0</v>
      </c>
      <c r="K62" s="15"/>
      <c r="L62" s="15"/>
      <c r="M62" s="15"/>
      <c r="N62" s="15"/>
      <c r="O62" s="15"/>
      <c r="P62" s="15"/>
      <c r="Q62" s="14">
        <f t="shared" si="104"/>
        <v>0</v>
      </c>
    </row>
    <row r="63" spans="1:17" ht="20.25" customHeight="1" x14ac:dyDescent="0.2">
      <c r="A63" s="6" t="s">
        <v>114</v>
      </c>
      <c r="B63" s="27" t="s">
        <v>130</v>
      </c>
      <c r="C63" s="7" t="s">
        <v>114</v>
      </c>
      <c r="D63" s="8" t="s">
        <v>131</v>
      </c>
      <c r="E63" s="9">
        <f t="shared" ref="E63" si="105">F63+I63</f>
        <v>155000</v>
      </c>
      <c r="F63" s="10">
        <f>F64+F67+F69</f>
        <v>155000</v>
      </c>
      <c r="G63" s="10">
        <f t="shared" ref="G63:I63" si="106">G64+G67+G69</f>
        <v>0</v>
      </c>
      <c r="H63" s="10">
        <f t="shared" si="106"/>
        <v>0</v>
      </c>
      <c r="I63" s="10">
        <f t="shared" si="106"/>
        <v>0</v>
      </c>
      <c r="J63" s="9">
        <f>M63+P63</f>
        <v>0</v>
      </c>
      <c r="K63" s="10">
        <f t="shared" ref="K63:P63" si="107">K64+K67+K69</f>
        <v>0</v>
      </c>
      <c r="L63" s="10">
        <f t="shared" si="107"/>
        <v>0</v>
      </c>
      <c r="M63" s="10">
        <f t="shared" si="107"/>
        <v>0</v>
      </c>
      <c r="N63" s="10">
        <f t="shared" si="107"/>
        <v>0</v>
      </c>
      <c r="O63" s="10">
        <f t="shared" si="107"/>
        <v>0</v>
      </c>
      <c r="P63" s="10">
        <f t="shared" si="107"/>
        <v>0</v>
      </c>
      <c r="Q63" s="9">
        <f t="shared" ref="Q63" si="108">E63+J63</f>
        <v>155000</v>
      </c>
    </row>
    <row r="64" spans="1:17" ht="16.5" customHeight="1" x14ac:dyDescent="0.2">
      <c r="A64" s="43" t="s">
        <v>280</v>
      </c>
      <c r="B64" s="43" t="s">
        <v>114</v>
      </c>
      <c r="C64" s="43" t="s">
        <v>114</v>
      </c>
      <c r="D64" s="13" t="s">
        <v>220</v>
      </c>
      <c r="E64" s="14">
        <f t="shared" ref="E64:E67" si="109">F64+I64</f>
        <v>105000</v>
      </c>
      <c r="F64" s="15">
        <f>F65+F66</f>
        <v>105000</v>
      </c>
      <c r="G64" s="15">
        <f t="shared" ref="G64:I64" si="110">G65+G66</f>
        <v>0</v>
      </c>
      <c r="H64" s="15">
        <f t="shared" si="110"/>
        <v>0</v>
      </c>
      <c r="I64" s="15">
        <f t="shared" si="110"/>
        <v>0</v>
      </c>
      <c r="J64" s="9">
        <f>M64+P64</f>
        <v>0</v>
      </c>
      <c r="K64" s="15">
        <f t="shared" ref="K64:P64" si="111">K65+K66+K68</f>
        <v>0</v>
      </c>
      <c r="L64" s="15">
        <f t="shared" si="111"/>
        <v>0</v>
      </c>
      <c r="M64" s="15">
        <f t="shared" si="111"/>
        <v>0</v>
      </c>
      <c r="N64" s="15">
        <f t="shared" si="111"/>
        <v>0</v>
      </c>
      <c r="O64" s="15">
        <f t="shared" si="111"/>
        <v>0</v>
      </c>
      <c r="P64" s="15">
        <f t="shared" si="111"/>
        <v>0</v>
      </c>
      <c r="Q64" s="14">
        <f t="shared" ref="Q64:Q67" si="112">E64+J64</f>
        <v>105000</v>
      </c>
    </row>
    <row r="65" spans="1:17" ht="16.5" customHeight="1" x14ac:dyDescent="0.2">
      <c r="A65" s="47" t="s">
        <v>281</v>
      </c>
      <c r="B65" s="47" t="s">
        <v>80</v>
      </c>
      <c r="C65" s="47" t="s">
        <v>79</v>
      </c>
      <c r="D65" s="18" t="s">
        <v>81</v>
      </c>
      <c r="E65" s="19">
        <f t="shared" si="109"/>
        <v>60000</v>
      </c>
      <c r="F65" s="20">
        <v>60000</v>
      </c>
      <c r="G65" s="20"/>
      <c r="H65" s="20"/>
      <c r="I65" s="20"/>
      <c r="J65" s="19">
        <f t="shared" ref="J65:J67" si="113">M65+P65</f>
        <v>0</v>
      </c>
      <c r="K65" s="20"/>
      <c r="L65" s="20"/>
      <c r="M65" s="20"/>
      <c r="N65" s="20"/>
      <c r="O65" s="20"/>
      <c r="P65" s="20"/>
      <c r="Q65" s="19">
        <f t="shared" si="112"/>
        <v>60000</v>
      </c>
    </row>
    <row r="66" spans="1:17" ht="15.75" customHeight="1" x14ac:dyDescent="0.2">
      <c r="A66" s="47" t="s">
        <v>282</v>
      </c>
      <c r="B66" s="47" t="s">
        <v>83</v>
      </c>
      <c r="C66" s="47" t="s">
        <v>79</v>
      </c>
      <c r="D66" s="18" t="s">
        <v>84</v>
      </c>
      <c r="E66" s="19">
        <f t="shared" si="109"/>
        <v>45000</v>
      </c>
      <c r="F66" s="20">
        <v>45000</v>
      </c>
      <c r="G66" s="20"/>
      <c r="H66" s="20"/>
      <c r="I66" s="20"/>
      <c r="J66" s="19">
        <f t="shared" si="113"/>
        <v>0</v>
      </c>
      <c r="K66" s="20"/>
      <c r="L66" s="20"/>
      <c r="M66" s="20"/>
      <c r="N66" s="20"/>
      <c r="O66" s="20"/>
      <c r="P66" s="20"/>
      <c r="Q66" s="19">
        <f t="shared" si="112"/>
        <v>45000</v>
      </c>
    </row>
    <row r="67" spans="1:17" ht="15.75" hidden="1" customHeight="1" x14ac:dyDescent="0.2">
      <c r="A67" s="43" t="s">
        <v>415</v>
      </c>
      <c r="B67" s="43" t="s">
        <v>114</v>
      </c>
      <c r="C67" s="43" t="s">
        <v>114</v>
      </c>
      <c r="D67" s="13" t="s">
        <v>416</v>
      </c>
      <c r="E67" s="14">
        <f t="shared" si="109"/>
        <v>0</v>
      </c>
      <c r="F67" s="15">
        <f>F68</f>
        <v>0</v>
      </c>
      <c r="G67" s="15">
        <f t="shared" ref="G67" si="114">G68</f>
        <v>0</v>
      </c>
      <c r="H67" s="15">
        <f t="shared" ref="H67" si="115">H68</f>
        <v>0</v>
      </c>
      <c r="I67" s="15">
        <f t="shared" ref="I67" si="116">I68</f>
        <v>0</v>
      </c>
      <c r="J67" s="19">
        <f t="shared" si="113"/>
        <v>0</v>
      </c>
      <c r="K67" s="15">
        <f t="shared" ref="K67" si="117">K68</f>
        <v>0</v>
      </c>
      <c r="L67" s="15">
        <f t="shared" ref="L67" si="118">L68</f>
        <v>0</v>
      </c>
      <c r="M67" s="15">
        <f t="shared" ref="M67" si="119">M68</f>
        <v>0</v>
      </c>
      <c r="N67" s="15">
        <f t="shared" ref="N67" si="120">N68</f>
        <v>0</v>
      </c>
      <c r="O67" s="15">
        <f t="shared" ref="O67" si="121">O68</f>
        <v>0</v>
      </c>
      <c r="P67" s="15">
        <f t="shared" ref="P67" si="122">P68</f>
        <v>0</v>
      </c>
      <c r="Q67" s="14">
        <f t="shared" si="112"/>
        <v>0</v>
      </c>
    </row>
    <row r="68" spans="1:17" ht="33.75" hidden="1" customHeight="1" x14ac:dyDescent="0.2">
      <c r="A68" s="47" t="s">
        <v>338</v>
      </c>
      <c r="B68" s="47" t="s">
        <v>339</v>
      </c>
      <c r="C68" s="47" t="s">
        <v>79</v>
      </c>
      <c r="D68" s="18" t="s">
        <v>440</v>
      </c>
      <c r="E68" s="19">
        <f t="shared" ref="E68:E70" si="123">F68+I68</f>
        <v>0</v>
      </c>
      <c r="F68" s="20"/>
      <c r="G68" s="20"/>
      <c r="H68" s="20"/>
      <c r="I68" s="20"/>
      <c r="J68" s="19">
        <f t="shared" ref="J68:J69" si="124">M68+P68</f>
        <v>0</v>
      </c>
      <c r="K68" s="20"/>
      <c r="L68" s="20"/>
      <c r="M68" s="20"/>
      <c r="N68" s="20"/>
      <c r="O68" s="20"/>
      <c r="P68" s="20"/>
      <c r="Q68" s="19">
        <f t="shared" ref="Q68:Q70" si="125">E68+J68</f>
        <v>0</v>
      </c>
    </row>
    <row r="69" spans="1:17" ht="29.25" customHeight="1" x14ac:dyDescent="0.2">
      <c r="A69" s="43" t="s">
        <v>410</v>
      </c>
      <c r="B69" s="43" t="s">
        <v>114</v>
      </c>
      <c r="C69" s="43" t="s">
        <v>114</v>
      </c>
      <c r="D69" s="13" t="s">
        <v>411</v>
      </c>
      <c r="E69" s="14">
        <f t="shared" si="123"/>
        <v>50000</v>
      </c>
      <c r="F69" s="15">
        <f>F70</f>
        <v>50000</v>
      </c>
      <c r="G69" s="15">
        <f t="shared" ref="G69:I69" si="126">G70</f>
        <v>0</v>
      </c>
      <c r="H69" s="15">
        <f t="shared" si="126"/>
        <v>0</v>
      </c>
      <c r="I69" s="15">
        <f t="shared" si="126"/>
        <v>0</v>
      </c>
      <c r="J69" s="19">
        <f t="shared" si="124"/>
        <v>0</v>
      </c>
      <c r="K69" s="15">
        <f t="shared" ref="K69:P69" si="127">K70</f>
        <v>0</v>
      </c>
      <c r="L69" s="15">
        <f t="shared" si="127"/>
        <v>0</v>
      </c>
      <c r="M69" s="15">
        <f t="shared" si="127"/>
        <v>0</v>
      </c>
      <c r="N69" s="15">
        <f t="shared" si="127"/>
        <v>0</v>
      </c>
      <c r="O69" s="15">
        <f t="shared" si="127"/>
        <v>0</v>
      </c>
      <c r="P69" s="15">
        <f t="shared" si="127"/>
        <v>0</v>
      </c>
      <c r="Q69" s="14">
        <f t="shared" si="125"/>
        <v>50000</v>
      </c>
    </row>
    <row r="70" spans="1:17" ht="35.25" customHeight="1" x14ac:dyDescent="0.2">
      <c r="A70" s="47" t="s">
        <v>412</v>
      </c>
      <c r="B70" s="47" t="s">
        <v>413</v>
      </c>
      <c r="C70" s="47" t="s">
        <v>79</v>
      </c>
      <c r="D70" s="18" t="s">
        <v>414</v>
      </c>
      <c r="E70" s="19">
        <f t="shared" si="123"/>
        <v>50000</v>
      </c>
      <c r="F70" s="20">
        <v>50000</v>
      </c>
      <c r="G70" s="20"/>
      <c r="H70" s="20"/>
      <c r="I70" s="20"/>
      <c r="J70" s="19">
        <f t="shared" ref="J70" si="128">M70+P70</f>
        <v>0</v>
      </c>
      <c r="K70" s="20"/>
      <c r="L70" s="20"/>
      <c r="M70" s="20"/>
      <c r="N70" s="20"/>
      <c r="O70" s="20"/>
      <c r="P70" s="20"/>
      <c r="Q70" s="19">
        <f t="shared" si="125"/>
        <v>50000</v>
      </c>
    </row>
    <row r="71" spans="1:17" s="29" customFormat="1" ht="15.75" x14ac:dyDescent="0.2">
      <c r="A71" s="6" t="s">
        <v>114</v>
      </c>
      <c r="B71" s="6">
        <v>6000</v>
      </c>
      <c r="C71" s="28" t="s">
        <v>114</v>
      </c>
      <c r="D71" s="8" t="s">
        <v>118</v>
      </c>
      <c r="E71" s="9">
        <f t="shared" si="40"/>
        <v>21658200</v>
      </c>
      <c r="F71" s="10">
        <f>F72+F75+F78+F79+F80+F81+F83+F86+F87</f>
        <v>11168200</v>
      </c>
      <c r="G71" s="10">
        <f t="shared" ref="G71:I71" si="129">G72+G75+G78+G79+G80+G81+G83+G86+G87</f>
        <v>0</v>
      </c>
      <c r="H71" s="10">
        <f t="shared" si="129"/>
        <v>900000</v>
      </c>
      <c r="I71" s="10">
        <f t="shared" si="129"/>
        <v>10490000</v>
      </c>
      <c r="J71" s="9">
        <f t="shared" si="7"/>
        <v>100000</v>
      </c>
      <c r="K71" s="10">
        <f t="shared" ref="K71:P71" si="130">K72+K75+K78+K79+K80+K81+K83+K86+K87</f>
        <v>100000</v>
      </c>
      <c r="L71" s="10">
        <f t="shared" si="130"/>
        <v>100000</v>
      </c>
      <c r="M71" s="10">
        <f t="shared" si="130"/>
        <v>0</v>
      </c>
      <c r="N71" s="10">
        <f t="shared" si="130"/>
        <v>0</v>
      </c>
      <c r="O71" s="10">
        <f t="shared" si="130"/>
        <v>0</v>
      </c>
      <c r="P71" s="10">
        <f t="shared" si="130"/>
        <v>100000</v>
      </c>
      <c r="Q71" s="9">
        <f t="shared" si="3"/>
        <v>21758200</v>
      </c>
    </row>
    <row r="72" spans="1:17" s="29" customFormat="1" ht="18.75" hidden="1" customHeight="1" x14ac:dyDescent="0.2">
      <c r="A72" s="11" t="s">
        <v>202</v>
      </c>
      <c r="B72" s="11" t="s">
        <v>114</v>
      </c>
      <c r="C72" s="12" t="s">
        <v>114</v>
      </c>
      <c r="D72" s="13" t="s">
        <v>203</v>
      </c>
      <c r="E72" s="14">
        <f t="shared" ref="E72" si="131">F72+I72</f>
        <v>0</v>
      </c>
      <c r="F72" s="15">
        <f>F73+F74</f>
        <v>0</v>
      </c>
      <c r="G72" s="15">
        <f t="shared" ref="G72:I72" si="132">G73+G74</f>
        <v>0</v>
      </c>
      <c r="H72" s="15">
        <f t="shared" si="132"/>
        <v>0</v>
      </c>
      <c r="I72" s="15">
        <f t="shared" si="132"/>
        <v>0</v>
      </c>
      <c r="J72" s="14">
        <f t="shared" ref="J72:J78" si="133">M72+P72</f>
        <v>0</v>
      </c>
      <c r="K72" s="15">
        <f t="shared" ref="K72:P72" si="134">K73+K74</f>
        <v>0</v>
      </c>
      <c r="L72" s="15">
        <f t="shared" si="134"/>
        <v>0</v>
      </c>
      <c r="M72" s="15">
        <f t="shared" si="134"/>
        <v>0</v>
      </c>
      <c r="N72" s="15">
        <f t="shared" si="134"/>
        <v>0</v>
      </c>
      <c r="O72" s="15">
        <f t="shared" si="134"/>
        <v>0</v>
      </c>
      <c r="P72" s="15">
        <f t="shared" si="134"/>
        <v>0</v>
      </c>
      <c r="Q72" s="14">
        <f t="shared" ref="Q72" si="135">E72+J72</f>
        <v>0</v>
      </c>
    </row>
    <row r="73" spans="1:17" ht="18" hidden="1" customHeight="1" x14ac:dyDescent="0.2">
      <c r="A73" s="16" t="s">
        <v>33</v>
      </c>
      <c r="B73" s="16" t="s">
        <v>35</v>
      </c>
      <c r="C73" s="17" t="s">
        <v>34</v>
      </c>
      <c r="D73" s="18" t="s">
        <v>36</v>
      </c>
      <c r="E73" s="19">
        <f t="shared" si="40"/>
        <v>0</v>
      </c>
      <c r="F73" s="20"/>
      <c r="G73" s="20"/>
      <c r="H73" s="20"/>
      <c r="I73" s="20"/>
      <c r="J73" s="19">
        <f t="shared" si="133"/>
        <v>0</v>
      </c>
      <c r="K73" s="20"/>
      <c r="L73" s="20"/>
      <c r="M73" s="20"/>
      <c r="N73" s="20"/>
      <c r="O73" s="20"/>
      <c r="P73" s="20"/>
      <c r="Q73" s="19">
        <f t="shared" si="3"/>
        <v>0</v>
      </c>
    </row>
    <row r="74" spans="1:17" ht="18" hidden="1" customHeight="1" x14ac:dyDescent="0.2">
      <c r="A74" s="16" t="s">
        <v>292</v>
      </c>
      <c r="B74" s="16" t="s">
        <v>293</v>
      </c>
      <c r="C74" s="17" t="s">
        <v>34</v>
      </c>
      <c r="D74" s="18" t="s">
        <v>294</v>
      </c>
      <c r="E74" s="19">
        <f t="shared" ref="E74" si="136">F74+I74</f>
        <v>0</v>
      </c>
      <c r="F74" s="20"/>
      <c r="G74" s="20"/>
      <c r="H74" s="20"/>
      <c r="I74" s="20"/>
      <c r="J74" s="19">
        <f t="shared" ref="J74" si="137">M74+P74</f>
        <v>0</v>
      </c>
      <c r="K74" s="20"/>
      <c r="L74" s="20"/>
      <c r="M74" s="20"/>
      <c r="N74" s="20"/>
      <c r="O74" s="20"/>
      <c r="P74" s="20"/>
      <c r="Q74" s="19">
        <f t="shared" ref="Q74" si="138">E74+J74</f>
        <v>0</v>
      </c>
    </row>
    <row r="75" spans="1:17" ht="18" customHeight="1" x14ac:dyDescent="0.2">
      <c r="A75" s="43" t="s">
        <v>202</v>
      </c>
      <c r="B75" s="11">
        <v>6010</v>
      </c>
      <c r="C75" s="53" t="s">
        <v>114</v>
      </c>
      <c r="D75" s="13" t="s">
        <v>203</v>
      </c>
      <c r="E75" s="14">
        <f t="shared" si="40"/>
        <v>2000000</v>
      </c>
      <c r="F75" s="15">
        <f>F77+F76</f>
        <v>1970000</v>
      </c>
      <c r="G75" s="15">
        <f t="shared" ref="G75:I75" si="139">G77+G76</f>
        <v>0</v>
      </c>
      <c r="H75" s="15">
        <f t="shared" si="139"/>
        <v>0</v>
      </c>
      <c r="I75" s="15">
        <f t="shared" si="139"/>
        <v>30000</v>
      </c>
      <c r="J75" s="14">
        <f t="shared" si="133"/>
        <v>0</v>
      </c>
      <c r="K75" s="15">
        <f t="shared" ref="K75:P75" si="140">K77+K76</f>
        <v>0</v>
      </c>
      <c r="L75" s="15">
        <f t="shared" si="140"/>
        <v>0</v>
      </c>
      <c r="M75" s="15">
        <f t="shared" si="140"/>
        <v>0</v>
      </c>
      <c r="N75" s="15">
        <f t="shared" si="140"/>
        <v>0</v>
      </c>
      <c r="O75" s="15">
        <f t="shared" si="140"/>
        <v>0</v>
      </c>
      <c r="P75" s="15">
        <f t="shared" si="140"/>
        <v>0</v>
      </c>
      <c r="Q75" s="14">
        <f t="shared" si="3"/>
        <v>2000000</v>
      </c>
    </row>
    <row r="76" spans="1:17" ht="18" customHeight="1" x14ac:dyDescent="0.2">
      <c r="A76" s="47" t="s">
        <v>33</v>
      </c>
      <c r="B76" s="16">
        <v>6013</v>
      </c>
      <c r="C76" s="17" t="s">
        <v>34</v>
      </c>
      <c r="D76" s="18" t="s">
        <v>36</v>
      </c>
      <c r="E76" s="19">
        <f t="shared" ref="E76" si="141">F76+I76</f>
        <v>2000000</v>
      </c>
      <c r="F76" s="20">
        <f>3000000-30000-1000000</f>
        <v>1970000</v>
      </c>
      <c r="G76" s="20"/>
      <c r="H76" s="20"/>
      <c r="I76" s="20">
        <v>30000</v>
      </c>
      <c r="J76" s="19">
        <f t="shared" ref="J76" si="142">M76+P76</f>
        <v>0</v>
      </c>
      <c r="K76" s="20"/>
      <c r="L76" s="20"/>
      <c r="M76" s="20"/>
      <c r="N76" s="20"/>
      <c r="O76" s="20"/>
      <c r="P76" s="20"/>
      <c r="Q76" s="19">
        <f t="shared" ref="Q76" si="143">E76+J76</f>
        <v>2000000</v>
      </c>
    </row>
    <row r="77" spans="1:17" ht="18" hidden="1" customHeight="1" x14ac:dyDescent="0.2">
      <c r="A77" s="47" t="s">
        <v>292</v>
      </c>
      <c r="B77" s="16">
        <v>6014</v>
      </c>
      <c r="C77" s="17" t="s">
        <v>34</v>
      </c>
      <c r="D77" s="18" t="s">
        <v>294</v>
      </c>
      <c r="E77" s="19">
        <f t="shared" si="40"/>
        <v>0</v>
      </c>
      <c r="F77" s="20"/>
      <c r="G77" s="20"/>
      <c r="H77" s="20"/>
      <c r="I77" s="20"/>
      <c r="J77" s="19">
        <f t="shared" si="133"/>
        <v>0</v>
      </c>
      <c r="K77" s="20"/>
      <c r="L77" s="20"/>
      <c r="M77" s="20"/>
      <c r="N77" s="20"/>
      <c r="O77" s="20"/>
      <c r="P77" s="20"/>
      <c r="Q77" s="19">
        <f t="shared" si="3"/>
        <v>0</v>
      </c>
    </row>
    <row r="78" spans="1:17" ht="32.25" customHeight="1" x14ac:dyDescent="0.2">
      <c r="A78" s="43" t="s">
        <v>216</v>
      </c>
      <c r="B78" s="11">
        <v>6020</v>
      </c>
      <c r="C78" s="12" t="s">
        <v>34</v>
      </c>
      <c r="D78" s="13" t="s">
        <v>217</v>
      </c>
      <c r="E78" s="14">
        <f t="shared" si="40"/>
        <v>200000</v>
      </c>
      <c r="F78" s="15">
        <v>200000</v>
      </c>
      <c r="G78" s="15"/>
      <c r="H78" s="15">
        <v>200000</v>
      </c>
      <c r="I78" s="15"/>
      <c r="J78" s="14">
        <f t="shared" si="133"/>
        <v>0</v>
      </c>
      <c r="K78" s="15"/>
      <c r="L78" s="15"/>
      <c r="M78" s="15"/>
      <c r="N78" s="15"/>
      <c r="O78" s="15"/>
      <c r="P78" s="15"/>
      <c r="Q78" s="14">
        <f t="shared" si="3"/>
        <v>200000</v>
      </c>
    </row>
    <row r="79" spans="1:17" ht="15.75" x14ac:dyDescent="0.2">
      <c r="A79" s="11" t="s">
        <v>37</v>
      </c>
      <c r="B79" s="11" t="s">
        <v>38</v>
      </c>
      <c r="C79" s="12" t="s">
        <v>34</v>
      </c>
      <c r="D79" s="13" t="s">
        <v>39</v>
      </c>
      <c r="E79" s="14">
        <f t="shared" si="40"/>
        <v>18616200</v>
      </c>
      <c r="F79" s="15">
        <f>8056200+1000000-100000</f>
        <v>8956200</v>
      </c>
      <c r="G79" s="15"/>
      <c r="H79" s="15">
        <v>700000</v>
      </c>
      <c r="I79" s="15">
        <f>9080000+480000+100000</f>
        <v>9660000</v>
      </c>
      <c r="J79" s="14">
        <f t="shared" si="7"/>
        <v>0</v>
      </c>
      <c r="K79" s="15"/>
      <c r="L79" s="15"/>
      <c r="M79" s="15"/>
      <c r="N79" s="15"/>
      <c r="O79" s="15"/>
      <c r="P79" s="15"/>
      <c r="Q79" s="14">
        <f t="shared" si="3"/>
        <v>18616200</v>
      </c>
    </row>
    <row r="80" spans="1:17" ht="15.75" x14ac:dyDescent="0.2">
      <c r="A80" s="11" t="s">
        <v>286</v>
      </c>
      <c r="B80" s="11">
        <v>6040</v>
      </c>
      <c r="C80" s="12" t="s">
        <v>34</v>
      </c>
      <c r="D80" s="13" t="s">
        <v>287</v>
      </c>
      <c r="E80" s="14">
        <f t="shared" ref="E80" si="144">F80+I80</f>
        <v>42000</v>
      </c>
      <c r="F80" s="15">
        <v>42000</v>
      </c>
      <c r="G80" s="15"/>
      <c r="H80" s="15"/>
      <c r="I80" s="15"/>
      <c r="J80" s="14">
        <f t="shared" ref="J80" si="145">M80+P80</f>
        <v>0</v>
      </c>
      <c r="K80" s="15"/>
      <c r="L80" s="15"/>
      <c r="M80" s="15"/>
      <c r="N80" s="15"/>
      <c r="O80" s="15"/>
      <c r="P80" s="15"/>
      <c r="Q80" s="14">
        <f t="shared" ref="Q80" si="146">E80+J80</f>
        <v>42000</v>
      </c>
    </row>
    <row r="81" spans="1:17" ht="16.5" hidden="1" customHeight="1" x14ac:dyDescent="0.2">
      <c r="A81" s="11" t="s">
        <v>204</v>
      </c>
      <c r="B81" s="11" t="s">
        <v>114</v>
      </c>
      <c r="C81" s="12" t="s">
        <v>105</v>
      </c>
      <c r="D81" s="13" t="s">
        <v>205</v>
      </c>
      <c r="E81" s="14">
        <f t="shared" ref="E81" si="147">F81+I81</f>
        <v>0</v>
      </c>
      <c r="F81" s="15">
        <f>F82</f>
        <v>0</v>
      </c>
      <c r="G81" s="15">
        <f t="shared" ref="G81:I81" si="148">G82</f>
        <v>0</v>
      </c>
      <c r="H81" s="15">
        <f t="shared" si="148"/>
        <v>0</v>
      </c>
      <c r="I81" s="15">
        <f t="shared" si="148"/>
        <v>0</v>
      </c>
      <c r="J81" s="14">
        <f t="shared" ref="J81" si="149">M81+P81</f>
        <v>0</v>
      </c>
      <c r="K81" s="15">
        <f t="shared" ref="K81:P81" si="150">K82</f>
        <v>0</v>
      </c>
      <c r="L81" s="15">
        <f t="shared" si="150"/>
        <v>0</v>
      </c>
      <c r="M81" s="15">
        <f t="shared" si="150"/>
        <v>0</v>
      </c>
      <c r="N81" s="15">
        <f t="shared" si="150"/>
        <v>0</v>
      </c>
      <c r="O81" s="15">
        <f t="shared" si="150"/>
        <v>0</v>
      </c>
      <c r="P81" s="15">
        <f t="shared" si="150"/>
        <v>0</v>
      </c>
      <c r="Q81" s="14">
        <f t="shared" ref="Q81" si="151">E81+J81</f>
        <v>0</v>
      </c>
    </row>
    <row r="82" spans="1:17" ht="48" hidden="1" customHeight="1" x14ac:dyDescent="0.2">
      <c r="A82" s="16" t="s">
        <v>40</v>
      </c>
      <c r="B82" s="16" t="s">
        <v>42</v>
      </c>
      <c r="C82" s="17" t="s">
        <v>41</v>
      </c>
      <c r="D82" s="18" t="s">
        <v>387</v>
      </c>
      <c r="E82" s="19">
        <f t="shared" si="40"/>
        <v>0</v>
      </c>
      <c r="F82" s="20"/>
      <c r="G82" s="20"/>
      <c r="H82" s="20"/>
      <c r="I82" s="20"/>
      <c r="J82" s="19">
        <f t="shared" si="7"/>
        <v>0</v>
      </c>
      <c r="K82" s="20"/>
      <c r="L82" s="20"/>
      <c r="M82" s="20"/>
      <c r="N82" s="20"/>
      <c r="O82" s="20"/>
      <c r="P82" s="20"/>
      <c r="Q82" s="19">
        <f t="shared" si="3"/>
        <v>0</v>
      </c>
    </row>
    <row r="83" spans="1:17" ht="23.25" hidden="1" customHeight="1" x14ac:dyDescent="0.2">
      <c r="A83" s="43" t="s">
        <v>206</v>
      </c>
      <c r="B83" s="43" t="s">
        <v>207</v>
      </c>
      <c r="C83" s="43" t="s">
        <v>105</v>
      </c>
      <c r="D83" s="46" t="s">
        <v>208</v>
      </c>
      <c r="E83" s="14">
        <f t="shared" ref="E83:E84" si="152">F83+I83</f>
        <v>0</v>
      </c>
      <c r="F83" s="15">
        <f>F84+F85</f>
        <v>0</v>
      </c>
      <c r="G83" s="15">
        <f t="shared" ref="G83:I83" si="153">G84+G85</f>
        <v>0</v>
      </c>
      <c r="H83" s="15">
        <f t="shared" si="153"/>
        <v>0</v>
      </c>
      <c r="I83" s="15">
        <f t="shared" si="153"/>
        <v>0</v>
      </c>
      <c r="J83" s="14">
        <f t="shared" ref="J83" si="154">M83+P83</f>
        <v>0</v>
      </c>
      <c r="K83" s="15">
        <f t="shared" ref="K83:P83" si="155">K84+K85</f>
        <v>0</v>
      </c>
      <c r="L83" s="15">
        <f t="shared" si="155"/>
        <v>0</v>
      </c>
      <c r="M83" s="15">
        <f t="shared" si="155"/>
        <v>0</v>
      </c>
      <c r="N83" s="15">
        <f t="shared" si="155"/>
        <v>0</v>
      </c>
      <c r="O83" s="15">
        <f t="shared" si="155"/>
        <v>0</v>
      </c>
      <c r="P83" s="15">
        <f t="shared" si="155"/>
        <v>0</v>
      </c>
      <c r="Q83" s="14">
        <f t="shared" ref="Q83:Q84" si="156">E83+J83</f>
        <v>0</v>
      </c>
    </row>
    <row r="84" spans="1:17" ht="21.75" hidden="1" customHeight="1" x14ac:dyDescent="0.2">
      <c r="A84" s="47" t="s">
        <v>319</v>
      </c>
      <c r="B84" s="47" t="s">
        <v>320</v>
      </c>
      <c r="C84" s="47" t="s">
        <v>145</v>
      </c>
      <c r="D84" s="48" t="s">
        <v>321</v>
      </c>
      <c r="E84" s="19">
        <f t="shared" si="152"/>
        <v>0</v>
      </c>
      <c r="F84" s="20"/>
      <c r="G84" s="20"/>
      <c r="H84" s="20"/>
      <c r="I84" s="20"/>
      <c r="J84" s="19">
        <f>M84+P84</f>
        <v>0</v>
      </c>
      <c r="K84" s="20"/>
      <c r="L84" s="20"/>
      <c r="M84" s="20"/>
      <c r="N84" s="20"/>
      <c r="O84" s="20"/>
      <c r="P84" s="20"/>
      <c r="Q84" s="19">
        <f t="shared" si="156"/>
        <v>0</v>
      </c>
    </row>
    <row r="85" spans="1:17" ht="64.5" hidden="1" customHeight="1" x14ac:dyDescent="0.2">
      <c r="A85" s="47" t="s">
        <v>144</v>
      </c>
      <c r="B85" s="47" t="s">
        <v>209</v>
      </c>
      <c r="C85" s="47" t="s">
        <v>145</v>
      </c>
      <c r="D85" s="48" t="s">
        <v>146</v>
      </c>
      <c r="E85" s="19">
        <f t="shared" si="40"/>
        <v>0</v>
      </c>
      <c r="F85" s="20"/>
      <c r="G85" s="20"/>
      <c r="H85" s="20"/>
      <c r="I85" s="20"/>
      <c r="J85" s="19">
        <f t="shared" si="7"/>
        <v>0</v>
      </c>
      <c r="K85" s="20"/>
      <c r="L85" s="20"/>
      <c r="M85" s="20"/>
      <c r="N85" s="20"/>
      <c r="O85" s="20"/>
      <c r="P85" s="20"/>
      <c r="Q85" s="19">
        <f t="shared" si="3"/>
        <v>0</v>
      </c>
    </row>
    <row r="86" spans="1:17" ht="22.5" customHeight="1" x14ac:dyDescent="0.2">
      <c r="A86" s="43" t="s">
        <v>317</v>
      </c>
      <c r="B86" s="43" t="s">
        <v>318</v>
      </c>
      <c r="C86" s="43" t="s">
        <v>41</v>
      </c>
      <c r="D86" s="46" t="s">
        <v>370</v>
      </c>
      <c r="E86" s="14">
        <f t="shared" si="40"/>
        <v>800000</v>
      </c>
      <c r="F86" s="15"/>
      <c r="G86" s="15"/>
      <c r="H86" s="15"/>
      <c r="I86" s="15">
        <v>800000</v>
      </c>
      <c r="J86" s="14">
        <f t="shared" si="7"/>
        <v>0</v>
      </c>
      <c r="K86" s="15"/>
      <c r="L86" s="15"/>
      <c r="M86" s="15"/>
      <c r="N86" s="15"/>
      <c r="O86" s="15"/>
      <c r="P86" s="15"/>
      <c r="Q86" s="14">
        <f t="shared" si="3"/>
        <v>800000</v>
      </c>
    </row>
    <row r="87" spans="1:17" ht="36.75" customHeight="1" x14ac:dyDescent="0.2">
      <c r="A87" s="43" t="s">
        <v>431</v>
      </c>
      <c r="B87" s="43" t="s">
        <v>433</v>
      </c>
      <c r="C87" s="43" t="s">
        <v>41</v>
      </c>
      <c r="D87" s="46" t="s">
        <v>432</v>
      </c>
      <c r="E87" s="14">
        <f t="shared" ref="E87" si="157">F87+I87</f>
        <v>0</v>
      </c>
      <c r="F87" s="15"/>
      <c r="G87" s="15"/>
      <c r="H87" s="15"/>
      <c r="I87" s="15"/>
      <c r="J87" s="14">
        <f t="shared" ref="J87" si="158">M87+P87</f>
        <v>100000</v>
      </c>
      <c r="K87" s="15">
        <v>100000</v>
      </c>
      <c r="L87" s="15">
        <v>100000</v>
      </c>
      <c r="M87" s="15"/>
      <c r="N87" s="15"/>
      <c r="O87" s="15"/>
      <c r="P87" s="15">
        <v>100000</v>
      </c>
      <c r="Q87" s="14">
        <f t="shared" ref="Q87" si="159">E87+J87</f>
        <v>100000</v>
      </c>
    </row>
    <row r="88" spans="1:17" s="29" customFormat="1" ht="15.75" x14ac:dyDescent="0.2">
      <c r="A88" s="6" t="s">
        <v>114</v>
      </c>
      <c r="B88" s="6">
        <v>7000</v>
      </c>
      <c r="C88" s="28" t="s">
        <v>114</v>
      </c>
      <c r="D88" s="8" t="s">
        <v>119</v>
      </c>
      <c r="E88" s="9">
        <f t="shared" si="40"/>
        <v>13415836</v>
      </c>
      <c r="F88" s="10">
        <f>F89+F91+F101+F104+F106</f>
        <v>7415836</v>
      </c>
      <c r="G88" s="10">
        <f t="shared" ref="G88:I88" si="160">G89+G91+G101+G104+G106</f>
        <v>0</v>
      </c>
      <c r="H88" s="10">
        <f t="shared" si="160"/>
        <v>0</v>
      </c>
      <c r="I88" s="10">
        <f t="shared" si="160"/>
        <v>6000000</v>
      </c>
      <c r="J88" s="9">
        <f t="shared" si="7"/>
        <v>8926000</v>
      </c>
      <c r="K88" s="10">
        <f t="shared" ref="K88:P88" si="161">K89+K91+K101+K104+K106</f>
        <v>8926000</v>
      </c>
      <c r="L88" s="10">
        <f t="shared" si="161"/>
        <v>8926000</v>
      </c>
      <c r="M88" s="10">
        <f t="shared" si="161"/>
        <v>0</v>
      </c>
      <c r="N88" s="10">
        <f t="shared" si="161"/>
        <v>0</v>
      </c>
      <c r="O88" s="10">
        <f t="shared" si="161"/>
        <v>0</v>
      </c>
      <c r="P88" s="10">
        <f t="shared" si="161"/>
        <v>8926000</v>
      </c>
      <c r="Q88" s="9">
        <f t="shared" si="3"/>
        <v>22341836</v>
      </c>
    </row>
    <row r="89" spans="1:17" s="29" customFormat="1" ht="21" customHeight="1" x14ac:dyDescent="0.2">
      <c r="A89" s="6" t="s">
        <v>114</v>
      </c>
      <c r="B89" s="6">
        <v>7100</v>
      </c>
      <c r="C89" s="28" t="s">
        <v>114</v>
      </c>
      <c r="D89" s="8" t="s">
        <v>120</v>
      </c>
      <c r="E89" s="9">
        <f t="shared" si="40"/>
        <v>400000</v>
      </c>
      <c r="F89" s="10">
        <f>F90</f>
        <v>400000</v>
      </c>
      <c r="G89" s="10">
        <f t="shared" ref="G89:I89" si="162">G90</f>
        <v>0</v>
      </c>
      <c r="H89" s="10">
        <f t="shared" si="162"/>
        <v>0</v>
      </c>
      <c r="I89" s="10">
        <f t="shared" si="162"/>
        <v>0</v>
      </c>
      <c r="J89" s="9">
        <f t="shared" si="7"/>
        <v>0</v>
      </c>
      <c r="K89" s="10">
        <f>K90</f>
        <v>0</v>
      </c>
      <c r="L89" s="10">
        <f t="shared" ref="L89:P89" si="163">L90</f>
        <v>0</v>
      </c>
      <c r="M89" s="10">
        <f t="shared" si="163"/>
        <v>0</v>
      </c>
      <c r="N89" s="10">
        <f t="shared" si="163"/>
        <v>0</v>
      </c>
      <c r="O89" s="10">
        <f t="shared" si="163"/>
        <v>0</v>
      </c>
      <c r="P89" s="10">
        <f t="shared" si="163"/>
        <v>0</v>
      </c>
      <c r="Q89" s="9">
        <f t="shared" si="3"/>
        <v>400000</v>
      </c>
    </row>
    <row r="90" spans="1:17" ht="21" customHeight="1" x14ac:dyDescent="0.2">
      <c r="A90" s="11" t="s">
        <v>43</v>
      </c>
      <c r="B90" s="11" t="s">
        <v>45</v>
      </c>
      <c r="C90" s="12" t="s">
        <v>44</v>
      </c>
      <c r="D90" s="13" t="s">
        <v>46</v>
      </c>
      <c r="E90" s="14">
        <f t="shared" si="40"/>
        <v>400000</v>
      </c>
      <c r="F90" s="15">
        <v>400000</v>
      </c>
      <c r="G90" s="15"/>
      <c r="H90" s="15"/>
      <c r="I90" s="15"/>
      <c r="J90" s="14">
        <f t="shared" si="7"/>
        <v>0</v>
      </c>
      <c r="K90" s="15"/>
      <c r="L90" s="15"/>
      <c r="M90" s="15">
        <f>31080-31080</f>
        <v>0</v>
      </c>
      <c r="N90" s="15"/>
      <c r="O90" s="15"/>
      <c r="P90" s="15"/>
      <c r="Q90" s="14">
        <f t="shared" si="3"/>
        <v>400000</v>
      </c>
    </row>
    <row r="91" spans="1:17" s="29" customFormat="1" ht="15.75" x14ac:dyDescent="0.2">
      <c r="A91" s="6" t="s">
        <v>114</v>
      </c>
      <c r="B91" s="6">
        <v>7300</v>
      </c>
      <c r="C91" s="28" t="s">
        <v>114</v>
      </c>
      <c r="D91" s="8" t="s">
        <v>441</v>
      </c>
      <c r="E91" s="9">
        <f t="shared" si="40"/>
        <v>0</v>
      </c>
      <c r="F91" s="10">
        <f>F92+F93+F95+F96+F97+F99</f>
        <v>0</v>
      </c>
      <c r="G91" s="10">
        <f t="shared" ref="G91:I91" si="164">G92+G93+G95+G96+G97+G99</f>
        <v>0</v>
      </c>
      <c r="H91" s="10">
        <f t="shared" si="164"/>
        <v>0</v>
      </c>
      <c r="I91" s="10">
        <f t="shared" si="164"/>
        <v>0</v>
      </c>
      <c r="J91" s="9">
        <f t="shared" si="7"/>
        <v>96000</v>
      </c>
      <c r="K91" s="10">
        <f t="shared" ref="K91:P91" si="165">K92+K93+K95+K96+K97+K99</f>
        <v>96000</v>
      </c>
      <c r="L91" s="10">
        <f t="shared" si="165"/>
        <v>96000</v>
      </c>
      <c r="M91" s="10">
        <f t="shared" si="165"/>
        <v>0</v>
      </c>
      <c r="N91" s="10">
        <f t="shared" si="165"/>
        <v>0</v>
      </c>
      <c r="O91" s="10">
        <f t="shared" si="165"/>
        <v>0</v>
      </c>
      <c r="P91" s="10">
        <f t="shared" si="165"/>
        <v>96000</v>
      </c>
      <c r="Q91" s="9">
        <f t="shared" si="3"/>
        <v>96000</v>
      </c>
    </row>
    <row r="92" spans="1:17" s="29" customFormat="1" ht="15.75" hidden="1" x14ac:dyDescent="0.2">
      <c r="A92" s="40" t="s">
        <v>328</v>
      </c>
      <c r="B92" s="42">
        <v>7310</v>
      </c>
      <c r="C92" s="41" t="s">
        <v>141</v>
      </c>
      <c r="D92" s="45" t="s">
        <v>329</v>
      </c>
      <c r="E92" s="14">
        <f t="shared" si="40"/>
        <v>0</v>
      </c>
      <c r="F92" s="15"/>
      <c r="G92" s="15"/>
      <c r="H92" s="15"/>
      <c r="I92" s="15"/>
      <c r="J92" s="14">
        <f t="shared" si="7"/>
        <v>0</v>
      </c>
      <c r="K92" s="15"/>
      <c r="L92" s="15"/>
      <c r="M92" s="15"/>
      <c r="N92" s="15"/>
      <c r="O92" s="15"/>
      <c r="P92" s="15"/>
      <c r="Q92" s="14">
        <f t="shared" si="3"/>
        <v>0</v>
      </c>
    </row>
    <row r="93" spans="1:17" s="29" customFormat="1" ht="19.5" hidden="1" customHeight="1" x14ac:dyDescent="0.2">
      <c r="A93" s="43" t="s">
        <v>256</v>
      </c>
      <c r="B93" s="11" t="s">
        <v>114</v>
      </c>
      <c r="C93" s="50" t="s">
        <v>114</v>
      </c>
      <c r="D93" s="13" t="s">
        <v>255</v>
      </c>
      <c r="E93" s="14">
        <f t="shared" si="40"/>
        <v>0</v>
      </c>
      <c r="F93" s="15">
        <f>F94</f>
        <v>0</v>
      </c>
      <c r="G93" s="15">
        <f t="shared" ref="G93:I93" si="166">G94</f>
        <v>0</v>
      </c>
      <c r="H93" s="15">
        <f t="shared" si="166"/>
        <v>0</v>
      </c>
      <c r="I93" s="15">
        <f t="shared" si="166"/>
        <v>0</v>
      </c>
      <c r="J93" s="14">
        <f t="shared" si="7"/>
        <v>0</v>
      </c>
      <c r="K93" s="15">
        <f>K94</f>
        <v>0</v>
      </c>
      <c r="L93" s="15">
        <f t="shared" ref="L93:P93" si="167">L94</f>
        <v>0</v>
      </c>
      <c r="M93" s="15">
        <f t="shared" si="167"/>
        <v>0</v>
      </c>
      <c r="N93" s="15">
        <f t="shared" si="167"/>
        <v>0</v>
      </c>
      <c r="O93" s="15">
        <f t="shared" si="167"/>
        <v>0</v>
      </c>
      <c r="P93" s="15">
        <f t="shared" si="167"/>
        <v>0</v>
      </c>
      <c r="Q93" s="14">
        <f t="shared" si="3"/>
        <v>0</v>
      </c>
    </row>
    <row r="94" spans="1:17" s="29" customFormat="1" ht="15.75" hidden="1" x14ac:dyDescent="0.2">
      <c r="A94" s="47" t="s">
        <v>257</v>
      </c>
      <c r="B94" s="16">
        <v>7322</v>
      </c>
      <c r="C94" s="52" t="s">
        <v>141</v>
      </c>
      <c r="D94" s="18" t="s">
        <v>258</v>
      </c>
      <c r="E94" s="19">
        <f t="shared" ref="E94" si="168">F94+I94</f>
        <v>0</v>
      </c>
      <c r="F94" s="51"/>
      <c r="G94" s="51"/>
      <c r="H94" s="51"/>
      <c r="I94" s="51"/>
      <c r="J94" s="19">
        <f t="shared" ref="J94" si="169">M94+P94</f>
        <v>0</v>
      </c>
      <c r="K94" s="20"/>
      <c r="L94" s="20"/>
      <c r="M94" s="51"/>
      <c r="N94" s="51"/>
      <c r="O94" s="51"/>
      <c r="P94" s="20"/>
      <c r="Q94" s="19">
        <f t="shared" ref="Q94" si="170">E94+J94</f>
        <v>0</v>
      </c>
    </row>
    <row r="95" spans="1:17" s="29" customFormat="1" ht="31.5" x14ac:dyDescent="0.2">
      <c r="A95" s="40" t="s">
        <v>140</v>
      </c>
      <c r="B95" s="42">
        <v>7330</v>
      </c>
      <c r="C95" s="41" t="s">
        <v>47</v>
      </c>
      <c r="D95" s="45" t="s">
        <v>442</v>
      </c>
      <c r="E95" s="14">
        <f t="shared" ref="E95" si="171">F95+I95</f>
        <v>0</v>
      </c>
      <c r="F95" s="15"/>
      <c r="G95" s="15"/>
      <c r="H95" s="15"/>
      <c r="I95" s="15"/>
      <c r="J95" s="14">
        <f t="shared" ref="J95" si="172">M95+P95</f>
        <v>96000</v>
      </c>
      <c r="K95" s="15">
        <v>96000</v>
      </c>
      <c r="L95" s="15">
        <v>96000</v>
      </c>
      <c r="M95" s="15"/>
      <c r="N95" s="15"/>
      <c r="O95" s="15"/>
      <c r="P95" s="15">
        <v>96000</v>
      </c>
      <c r="Q95" s="14">
        <f t="shared" ref="Q95" si="173">E95+J95</f>
        <v>96000</v>
      </c>
    </row>
    <row r="96" spans="1:17" s="29" customFormat="1" ht="15.75" hidden="1" x14ac:dyDescent="0.2">
      <c r="A96" s="40" t="s">
        <v>373</v>
      </c>
      <c r="B96" s="42">
        <v>7350</v>
      </c>
      <c r="C96" s="41" t="s">
        <v>141</v>
      </c>
      <c r="D96" s="45" t="s">
        <v>374</v>
      </c>
      <c r="E96" s="14">
        <f t="shared" ref="E96" si="174">F96+I96</f>
        <v>0</v>
      </c>
      <c r="F96" s="15"/>
      <c r="G96" s="15"/>
      <c r="H96" s="15"/>
      <c r="I96" s="15"/>
      <c r="J96" s="14">
        <f t="shared" ref="J96" si="175">M96+P96</f>
        <v>0</v>
      </c>
      <c r="K96" s="15"/>
      <c r="L96" s="15"/>
      <c r="M96" s="15"/>
      <c r="N96" s="15"/>
      <c r="O96" s="15"/>
      <c r="P96" s="15"/>
      <c r="Q96" s="14">
        <f t="shared" ref="Q96" si="176">E96+J96</f>
        <v>0</v>
      </c>
    </row>
    <row r="97" spans="1:17" ht="15.75" hidden="1" x14ac:dyDescent="0.2">
      <c r="A97" s="43" t="s">
        <v>210</v>
      </c>
      <c r="B97" s="11" t="s">
        <v>114</v>
      </c>
      <c r="C97" s="50" t="s">
        <v>114</v>
      </c>
      <c r="D97" s="13" t="s">
        <v>371</v>
      </c>
      <c r="E97" s="14">
        <f t="shared" ref="E97:E98" si="177">F97+I97</f>
        <v>0</v>
      </c>
      <c r="F97" s="15">
        <f>F98</f>
        <v>0</v>
      </c>
      <c r="G97" s="15">
        <f t="shared" ref="G97:I99" si="178">G98</f>
        <v>0</v>
      </c>
      <c r="H97" s="15">
        <f t="shared" si="178"/>
        <v>0</v>
      </c>
      <c r="I97" s="15">
        <f t="shared" si="178"/>
        <v>0</v>
      </c>
      <c r="J97" s="14">
        <f t="shared" ref="J97:J98" si="179">M97+P97</f>
        <v>0</v>
      </c>
      <c r="K97" s="15">
        <f t="shared" ref="K97:P99" si="180">K98</f>
        <v>0</v>
      </c>
      <c r="L97" s="15">
        <f t="shared" si="180"/>
        <v>0</v>
      </c>
      <c r="M97" s="15">
        <f t="shared" si="180"/>
        <v>0</v>
      </c>
      <c r="N97" s="15">
        <f t="shared" si="180"/>
        <v>0</v>
      </c>
      <c r="O97" s="15">
        <f t="shared" si="180"/>
        <v>0</v>
      </c>
      <c r="P97" s="15">
        <f t="shared" si="180"/>
        <v>0</v>
      </c>
      <c r="Q97" s="14">
        <f t="shared" ref="Q97:Q98" si="181">E97+J97</f>
        <v>0</v>
      </c>
    </row>
    <row r="98" spans="1:17" ht="31.5" hidden="1" x14ac:dyDescent="0.2">
      <c r="A98" s="47" t="s">
        <v>283</v>
      </c>
      <c r="B98" s="16">
        <v>7363</v>
      </c>
      <c r="C98" s="52" t="s">
        <v>47</v>
      </c>
      <c r="D98" s="18" t="s">
        <v>284</v>
      </c>
      <c r="E98" s="19">
        <f t="shared" si="177"/>
        <v>0</v>
      </c>
      <c r="F98" s="51"/>
      <c r="G98" s="51"/>
      <c r="H98" s="51"/>
      <c r="I98" s="51"/>
      <c r="J98" s="19">
        <f t="shared" si="179"/>
        <v>0</v>
      </c>
      <c r="K98" s="20"/>
      <c r="L98" s="20"/>
      <c r="M98" s="51"/>
      <c r="N98" s="51"/>
      <c r="O98" s="51"/>
      <c r="P98" s="20"/>
      <c r="Q98" s="19">
        <f t="shared" si="181"/>
        <v>0</v>
      </c>
    </row>
    <row r="99" spans="1:17" ht="15.75" hidden="1" x14ac:dyDescent="0.2">
      <c r="A99" s="43" t="s">
        <v>349</v>
      </c>
      <c r="B99" s="11" t="s">
        <v>114</v>
      </c>
      <c r="C99" s="50" t="s">
        <v>114</v>
      </c>
      <c r="D99" s="13" t="s">
        <v>372</v>
      </c>
      <c r="E99" s="14">
        <f t="shared" ref="E99:E100" si="182">F99+I99</f>
        <v>0</v>
      </c>
      <c r="F99" s="15">
        <f>F100</f>
        <v>0</v>
      </c>
      <c r="G99" s="15">
        <f t="shared" si="178"/>
        <v>0</v>
      </c>
      <c r="H99" s="15">
        <f t="shared" si="178"/>
        <v>0</v>
      </c>
      <c r="I99" s="15">
        <f t="shared" si="178"/>
        <v>0</v>
      </c>
      <c r="J99" s="14">
        <f t="shared" ref="J99:J100" si="183">M99+P99</f>
        <v>0</v>
      </c>
      <c r="K99" s="15">
        <f t="shared" si="180"/>
        <v>0</v>
      </c>
      <c r="L99" s="15">
        <f t="shared" si="180"/>
        <v>0</v>
      </c>
      <c r="M99" s="15">
        <f t="shared" si="180"/>
        <v>0</v>
      </c>
      <c r="N99" s="15">
        <f t="shared" si="180"/>
        <v>0</v>
      </c>
      <c r="O99" s="15">
        <f t="shared" si="180"/>
        <v>0</v>
      </c>
      <c r="P99" s="15">
        <f t="shared" si="180"/>
        <v>0</v>
      </c>
      <c r="Q99" s="14">
        <f t="shared" ref="Q99:Q100" si="184">E99+J99</f>
        <v>0</v>
      </c>
    </row>
    <row r="100" spans="1:17" ht="46.5" hidden="1" customHeight="1" x14ac:dyDescent="0.2">
      <c r="A100" s="47" t="s">
        <v>350</v>
      </c>
      <c r="B100" s="16">
        <v>7384</v>
      </c>
      <c r="C100" s="52" t="s">
        <v>47</v>
      </c>
      <c r="D100" s="18" t="s">
        <v>351</v>
      </c>
      <c r="E100" s="19">
        <f t="shared" si="182"/>
        <v>0</v>
      </c>
      <c r="F100" s="51"/>
      <c r="G100" s="51"/>
      <c r="H100" s="51"/>
      <c r="I100" s="51"/>
      <c r="J100" s="19">
        <f t="shared" si="183"/>
        <v>0</v>
      </c>
      <c r="K100" s="20"/>
      <c r="L100" s="20"/>
      <c r="M100" s="51"/>
      <c r="N100" s="51"/>
      <c r="O100" s="51"/>
      <c r="P100" s="20"/>
      <c r="Q100" s="19">
        <f t="shared" si="184"/>
        <v>0</v>
      </c>
    </row>
    <row r="101" spans="1:17" s="29" customFormat="1" ht="18" customHeight="1" x14ac:dyDescent="0.2">
      <c r="A101" s="6" t="s">
        <v>114</v>
      </c>
      <c r="B101" s="6">
        <v>7400</v>
      </c>
      <c r="C101" s="28" t="s">
        <v>114</v>
      </c>
      <c r="D101" s="8" t="s">
        <v>122</v>
      </c>
      <c r="E101" s="9">
        <f t="shared" ref="E101:E102" si="185">F101+I101</f>
        <v>13000000</v>
      </c>
      <c r="F101" s="10">
        <f>F102</f>
        <v>7000000</v>
      </c>
      <c r="G101" s="10">
        <f t="shared" ref="G101:I101" si="186">G102</f>
        <v>0</v>
      </c>
      <c r="H101" s="10">
        <f t="shared" si="186"/>
        <v>0</v>
      </c>
      <c r="I101" s="10">
        <f t="shared" si="186"/>
        <v>6000000</v>
      </c>
      <c r="J101" s="9">
        <f t="shared" ref="J101:J102" si="187">M101+P101</f>
        <v>0</v>
      </c>
      <c r="K101" s="10">
        <f t="shared" ref="K101:P101" si="188">K102</f>
        <v>0</v>
      </c>
      <c r="L101" s="10">
        <f t="shared" si="188"/>
        <v>0</v>
      </c>
      <c r="M101" s="10">
        <f t="shared" si="188"/>
        <v>0</v>
      </c>
      <c r="N101" s="10">
        <f t="shared" si="188"/>
        <v>0</v>
      </c>
      <c r="O101" s="10">
        <f t="shared" si="188"/>
        <v>0</v>
      </c>
      <c r="P101" s="10">
        <f t="shared" si="188"/>
        <v>0</v>
      </c>
      <c r="Q101" s="9">
        <f t="shared" ref="Q101:Q102" si="189">E101+J101</f>
        <v>13000000</v>
      </c>
    </row>
    <row r="102" spans="1:17" s="29" customFormat="1" ht="16.5" customHeight="1" x14ac:dyDescent="0.2">
      <c r="A102" s="11" t="s">
        <v>211</v>
      </c>
      <c r="B102" s="11" t="s">
        <v>114</v>
      </c>
      <c r="C102" s="12" t="s">
        <v>105</v>
      </c>
      <c r="D102" s="13" t="s">
        <v>212</v>
      </c>
      <c r="E102" s="14">
        <f t="shared" si="185"/>
        <v>13000000</v>
      </c>
      <c r="F102" s="15">
        <f t="shared" ref="F102:I102" si="190">F103</f>
        <v>7000000</v>
      </c>
      <c r="G102" s="15">
        <f t="shared" si="190"/>
        <v>0</v>
      </c>
      <c r="H102" s="15">
        <f t="shared" si="190"/>
        <v>0</v>
      </c>
      <c r="I102" s="15">
        <f t="shared" si="190"/>
        <v>6000000</v>
      </c>
      <c r="J102" s="14">
        <f t="shared" si="187"/>
        <v>0</v>
      </c>
      <c r="K102" s="15">
        <f t="shared" ref="K102:P102" si="191">K103</f>
        <v>0</v>
      </c>
      <c r="L102" s="15">
        <f t="shared" si="191"/>
        <v>0</v>
      </c>
      <c r="M102" s="15">
        <f t="shared" si="191"/>
        <v>0</v>
      </c>
      <c r="N102" s="15">
        <f t="shared" si="191"/>
        <v>0</v>
      </c>
      <c r="O102" s="15">
        <f t="shared" si="191"/>
        <v>0</v>
      </c>
      <c r="P102" s="15">
        <f t="shared" si="191"/>
        <v>0</v>
      </c>
      <c r="Q102" s="14">
        <f t="shared" si="189"/>
        <v>13000000</v>
      </c>
    </row>
    <row r="103" spans="1:17" ht="36.75" customHeight="1" x14ac:dyDescent="0.2">
      <c r="A103" s="16" t="s">
        <v>48</v>
      </c>
      <c r="B103" s="16" t="s">
        <v>50</v>
      </c>
      <c r="C103" s="17" t="s">
        <v>49</v>
      </c>
      <c r="D103" s="18" t="s">
        <v>51</v>
      </c>
      <c r="E103" s="19">
        <f t="shared" si="40"/>
        <v>13000000</v>
      </c>
      <c r="F103" s="20">
        <v>7000000</v>
      </c>
      <c r="G103" s="20"/>
      <c r="H103" s="20"/>
      <c r="I103" s="20">
        <v>6000000</v>
      </c>
      <c r="J103" s="19">
        <f t="shared" si="7"/>
        <v>0</v>
      </c>
      <c r="K103" s="20"/>
      <c r="L103" s="20"/>
      <c r="M103" s="20"/>
      <c r="N103" s="20"/>
      <c r="O103" s="20"/>
      <c r="P103" s="20"/>
      <c r="Q103" s="19">
        <f t="shared" si="3"/>
        <v>13000000</v>
      </c>
    </row>
    <row r="104" spans="1:17" ht="32.25" hidden="1" customHeight="1" x14ac:dyDescent="0.2">
      <c r="A104" s="6" t="s">
        <v>114</v>
      </c>
      <c r="B104" s="6">
        <v>7500</v>
      </c>
      <c r="C104" s="28" t="s">
        <v>114</v>
      </c>
      <c r="D104" s="8" t="s">
        <v>300</v>
      </c>
      <c r="E104" s="9">
        <f t="shared" si="40"/>
        <v>0</v>
      </c>
      <c r="F104" s="10">
        <f>F105</f>
        <v>0</v>
      </c>
      <c r="G104" s="10">
        <f t="shared" ref="G104:I104" si="192">G105</f>
        <v>0</v>
      </c>
      <c r="H104" s="10">
        <f t="shared" si="192"/>
        <v>0</v>
      </c>
      <c r="I104" s="10">
        <f t="shared" si="192"/>
        <v>0</v>
      </c>
      <c r="J104" s="9">
        <f t="shared" si="7"/>
        <v>0</v>
      </c>
      <c r="K104" s="10">
        <f t="shared" ref="K104:P104" si="193">K105</f>
        <v>0</v>
      </c>
      <c r="L104" s="10">
        <f t="shared" si="193"/>
        <v>0</v>
      </c>
      <c r="M104" s="10">
        <f t="shared" si="193"/>
        <v>0</v>
      </c>
      <c r="N104" s="10">
        <f t="shared" si="193"/>
        <v>0</v>
      </c>
      <c r="O104" s="10">
        <f t="shared" si="193"/>
        <v>0</v>
      </c>
      <c r="P104" s="10">
        <f t="shared" si="193"/>
        <v>0</v>
      </c>
      <c r="Q104" s="9">
        <f t="shared" si="3"/>
        <v>0</v>
      </c>
    </row>
    <row r="105" spans="1:17" ht="32.25" hidden="1" customHeight="1" x14ac:dyDescent="0.2">
      <c r="A105" s="11" t="s">
        <v>301</v>
      </c>
      <c r="B105" s="11">
        <v>7540</v>
      </c>
      <c r="C105" s="12" t="s">
        <v>302</v>
      </c>
      <c r="D105" s="13" t="s">
        <v>303</v>
      </c>
      <c r="E105" s="14">
        <f t="shared" si="40"/>
        <v>0</v>
      </c>
      <c r="F105" s="15"/>
      <c r="G105" s="15"/>
      <c r="H105" s="15"/>
      <c r="I105" s="15"/>
      <c r="J105" s="14">
        <f t="shared" si="7"/>
        <v>0</v>
      </c>
      <c r="K105" s="15"/>
      <c r="L105" s="15"/>
      <c r="M105" s="15"/>
      <c r="N105" s="15"/>
      <c r="O105" s="15"/>
      <c r="P105" s="15"/>
      <c r="Q105" s="14">
        <f t="shared" si="3"/>
        <v>0</v>
      </c>
    </row>
    <row r="106" spans="1:17" s="29" customFormat="1" ht="18" customHeight="1" x14ac:dyDescent="0.2">
      <c r="A106" s="6" t="s">
        <v>114</v>
      </c>
      <c r="B106" s="6">
        <v>7600</v>
      </c>
      <c r="C106" s="28" t="s">
        <v>114</v>
      </c>
      <c r="D106" s="8" t="s">
        <v>443</v>
      </c>
      <c r="E106" s="9">
        <f t="shared" ref="E106" si="194">F106+I106</f>
        <v>15836</v>
      </c>
      <c r="F106" s="10">
        <f>F107+F108</f>
        <v>15836</v>
      </c>
      <c r="G106" s="10">
        <f t="shared" ref="G106:I106" si="195">G107+G108</f>
        <v>0</v>
      </c>
      <c r="H106" s="10">
        <f t="shared" si="195"/>
        <v>0</v>
      </c>
      <c r="I106" s="10">
        <f t="shared" si="195"/>
        <v>0</v>
      </c>
      <c r="J106" s="9">
        <f t="shared" ref="J106" si="196">M106+P106</f>
        <v>8830000</v>
      </c>
      <c r="K106" s="10">
        <f t="shared" ref="K106:P106" si="197">K107+K108</f>
        <v>8830000</v>
      </c>
      <c r="L106" s="10">
        <f t="shared" si="197"/>
        <v>8830000</v>
      </c>
      <c r="M106" s="10">
        <f t="shared" si="197"/>
        <v>0</v>
      </c>
      <c r="N106" s="10">
        <f t="shared" si="197"/>
        <v>0</v>
      </c>
      <c r="O106" s="10">
        <f t="shared" si="197"/>
        <v>0</v>
      </c>
      <c r="P106" s="10">
        <f t="shared" si="197"/>
        <v>8830000</v>
      </c>
      <c r="Q106" s="9">
        <f t="shared" ref="Q106" si="198">E106+J106</f>
        <v>8845836</v>
      </c>
    </row>
    <row r="107" spans="1:17" ht="15.75" x14ac:dyDescent="0.2">
      <c r="A107" s="11" t="s">
        <v>52</v>
      </c>
      <c r="B107" s="11">
        <v>7670</v>
      </c>
      <c r="C107" s="12" t="s">
        <v>47</v>
      </c>
      <c r="D107" s="13" t="s">
        <v>53</v>
      </c>
      <c r="E107" s="14">
        <f t="shared" ref="E107" si="199">F107+I107</f>
        <v>0</v>
      </c>
      <c r="F107" s="15"/>
      <c r="G107" s="15"/>
      <c r="H107" s="15"/>
      <c r="I107" s="15"/>
      <c r="J107" s="14">
        <f t="shared" ref="J107" si="200">M107+P107</f>
        <v>8830000</v>
      </c>
      <c r="K107" s="15">
        <f>7830000+1000000</f>
        <v>8830000</v>
      </c>
      <c r="L107" s="15">
        <f>7830000+1000000</f>
        <v>8830000</v>
      </c>
      <c r="M107" s="15"/>
      <c r="N107" s="15"/>
      <c r="O107" s="15"/>
      <c r="P107" s="15">
        <f>7830000+1000000</f>
        <v>8830000</v>
      </c>
      <c r="Q107" s="14">
        <f t="shared" ref="Q107" si="201">E107+J107</f>
        <v>8830000</v>
      </c>
    </row>
    <row r="108" spans="1:17" ht="18.75" customHeight="1" x14ac:dyDescent="0.2">
      <c r="A108" s="11" t="s">
        <v>54</v>
      </c>
      <c r="B108" s="11" t="s">
        <v>55</v>
      </c>
      <c r="C108" s="12" t="s">
        <v>47</v>
      </c>
      <c r="D108" s="13" t="s">
        <v>56</v>
      </c>
      <c r="E108" s="14">
        <f t="shared" si="40"/>
        <v>15836</v>
      </c>
      <c r="F108" s="15">
        <f>15736+100</f>
        <v>15836</v>
      </c>
      <c r="G108" s="15"/>
      <c r="H108" s="15"/>
      <c r="I108" s="15"/>
      <c r="J108" s="14">
        <f t="shared" si="7"/>
        <v>0</v>
      </c>
      <c r="K108" s="15"/>
      <c r="L108" s="15"/>
      <c r="M108" s="15"/>
      <c r="N108" s="15"/>
      <c r="O108" s="15"/>
      <c r="P108" s="15"/>
      <c r="Q108" s="14">
        <f t="shared" si="3"/>
        <v>15836</v>
      </c>
    </row>
    <row r="109" spans="1:17" s="29" customFormat="1" ht="15.75" x14ac:dyDescent="0.2">
      <c r="A109" s="6" t="s">
        <v>114</v>
      </c>
      <c r="B109" s="6">
        <v>8000</v>
      </c>
      <c r="C109" s="28" t="s">
        <v>114</v>
      </c>
      <c r="D109" s="8" t="s">
        <v>123</v>
      </c>
      <c r="E109" s="9">
        <f t="shared" ref="E109" si="202">F109+I109</f>
        <v>6142540</v>
      </c>
      <c r="F109" s="10">
        <f>F110+F113+F116+F122</f>
        <v>6142540</v>
      </c>
      <c r="G109" s="10">
        <f t="shared" ref="G109:I109" si="203">G110+G113+G116+G122</f>
        <v>1729100</v>
      </c>
      <c r="H109" s="10">
        <f t="shared" si="203"/>
        <v>202500</v>
      </c>
      <c r="I109" s="10">
        <f t="shared" si="203"/>
        <v>0</v>
      </c>
      <c r="J109" s="9">
        <f t="shared" ref="J109" si="204">M109+P109</f>
        <v>374000</v>
      </c>
      <c r="K109" s="10">
        <f t="shared" ref="K109:P109" si="205">K110+K113+K116+K122</f>
        <v>0</v>
      </c>
      <c r="L109" s="10">
        <f t="shared" si="205"/>
        <v>0</v>
      </c>
      <c r="M109" s="10">
        <f t="shared" si="205"/>
        <v>265000</v>
      </c>
      <c r="N109" s="10">
        <f t="shared" si="205"/>
        <v>0</v>
      </c>
      <c r="O109" s="10">
        <f t="shared" si="205"/>
        <v>0</v>
      </c>
      <c r="P109" s="10">
        <f t="shared" si="205"/>
        <v>109000</v>
      </c>
      <c r="Q109" s="9">
        <f t="shared" ref="Q109" si="206">E109+J109</f>
        <v>6516540</v>
      </c>
    </row>
    <row r="110" spans="1:17" s="29" customFormat="1" ht="18.75" customHeight="1" x14ac:dyDescent="0.2">
      <c r="A110" s="6" t="s">
        <v>114</v>
      </c>
      <c r="B110" s="6">
        <v>8100</v>
      </c>
      <c r="C110" s="28" t="s">
        <v>114</v>
      </c>
      <c r="D110" s="8" t="s">
        <v>444</v>
      </c>
      <c r="E110" s="9">
        <f t="shared" si="40"/>
        <v>5450540</v>
      </c>
      <c r="F110" s="10">
        <f>F111+F112</f>
        <v>5450540</v>
      </c>
      <c r="G110" s="10">
        <f t="shared" ref="G110:I110" si="207">G111+G112</f>
        <v>1729100</v>
      </c>
      <c r="H110" s="10">
        <f t="shared" si="207"/>
        <v>202500</v>
      </c>
      <c r="I110" s="10">
        <f t="shared" si="207"/>
        <v>0</v>
      </c>
      <c r="J110" s="9">
        <f t="shared" si="7"/>
        <v>0</v>
      </c>
      <c r="K110" s="10">
        <f t="shared" ref="K110:P110" si="208">K111+K112</f>
        <v>0</v>
      </c>
      <c r="L110" s="10">
        <f t="shared" si="208"/>
        <v>0</v>
      </c>
      <c r="M110" s="10">
        <f t="shared" si="208"/>
        <v>0</v>
      </c>
      <c r="N110" s="10">
        <f t="shared" si="208"/>
        <v>0</v>
      </c>
      <c r="O110" s="10">
        <f t="shared" si="208"/>
        <v>0</v>
      </c>
      <c r="P110" s="10">
        <f t="shared" si="208"/>
        <v>0</v>
      </c>
      <c r="Q110" s="9">
        <f t="shared" si="3"/>
        <v>5450540</v>
      </c>
    </row>
    <row r="111" spans="1:17" s="29" customFormat="1" ht="17.25" customHeight="1" x14ac:dyDescent="0.2">
      <c r="A111" s="11" t="s">
        <v>142</v>
      </c>
      <c r="B111" s="11">
        <v>8110</v>
      </c>
      <c r="C111" s="43" t="s">
        <v>143</v>
      </c>
      <c r="D111" s="13" t="s">
        <v>261</v>
      </c>
      <c r="E111" s="14">
        <f t="shared" si="40"/>
        <v>2655558</v>
      </c>
      <c r="F111" s="15">
        <f>5000000+1704100-1889510-702200-179232-1277600</f>
        <v>2655558</v>
      </c>
      <c r="G111" s="10"/>
      <c r="H111" s="10"/>
      <c r="I111" s="10"/>
      <c r="J111" s="14">
        <f t="shared" si="7"/>
        <v>0</v>
      </c>
      <c r="K111" s="15"/>
      <c r="L111" s="15"/>
      <c r="M111" s="15"/>
      <c r="N111" s="10"/>
      <c r="O111" s="10"/>
      <c r="P111" s="15"/>
      <c r="Q111" s="14">
        <f t="shared" si="3"/>
        <v>2655558</v>
      </c>
    </row>
    <row r="112" spans="1:17" s="29" customFormat="1" ht="18" customHeight="1" x14ac:dyDescent="0.2">
      <c r="A112" s="11" t="s">
        <v>215</v>
      </c>
      <c r="B112" s="11">
        <v>8130</v>
      </c>
      <c r="C112" s="43" t="s">
        <v>143</v>
      </c>
      <c r="D112" s="13" t="s">
        <v>380</v>
      </c>
      <c r="E112" s="14">
        <f t="shared" ref="E112:E115" si="209">F112+I112</f>
        <v>2794982</v>
      </c>
      <c r="F112" s="15">
        <f>2350000+228200+57200+69232+90350</f>
        <v>2794982</v>
      </c>
      <c r="G112" s="15">
        <f>1540000+189100</f>
        <v>1729100</v>
      </c>
      <c r="H112" s="15">
        <f>224500-22000</f>
        <v>202500</v>
      </c>
      <c r="I112" s="10"/>
      <c r="J112" s="14">
        <f t="shared" ref="J112:J115" si="210">M112+P112</f>
        <v>0</v>
      </c>
      <c r="K112" s="15"/>
      <c r="L112" s="15"/>
      <c r="M112" s="15"/>
      <c r="N112" s="10"/>
      <c r="O112" s="10"/>
      <c r="P112" s="15"/>
      <c r="Q112" s="14">
        <f t="shared" ref="Q112:Q115" si="211">E112+J112</f>
        <v>2794982</v>
      </c>
    </row>
    <row r="113" spans="1:17" s="29" customFormat="1" ht="18" customHeight="1" x14ac:dyDescent="0.2">
      <c r="A113" s="6" t="s">
        <v>114</v>
      </c>
      <c r="B113" s="6">
        <v>8200</v>
      </c>
      <c r="C113" s="28" t="s">
        <v>114</v>
      </c>
      <c r="D113" s="8" t="s">
        <v>313</v>
      </c>
      <c r="E113" s="9">
        <f t="shared" si="209"/>
        <v>542000</v>
      </c>
      <c r="F113" s="10">
        <f>F114+F115</f>
        <v>542000</v>
      </c>
      <c r="G113" s="10">
        <f t="shared" ref="G113:I113" si="212">G114+G115</f>
        <v>0</v>
      </c>
      <c r="H113" s="10">
        <f t="shared" si="212"/>
        <v>0</v>
      </c>
      <c r="I113" s="10">
        <f t="shared" si="212"/>
        <v>0</v>
      </c>
      <c r="J113" s="9">
        <f t="shared" si="210"/>
        <v>0</v>
      </c>
      <c r="K113" s="10">
        <f t="shared" ref="K113:P113" si="213">K114+K115</f>
        <v>0</v>
      </c>
      <c r="L113" s="10">
        <f t="shared" si="213"/>
        <v>0</v>
      </c>
      <c r="M113" s="10">
        <f t="shared" si="213"/>
        <v>0</v>
      </c>
      <c r="N113" s="10">
        <f t="shared" si="213"/>
        <v>0</v>
      </c>
      <c r="O113" s="10">
        <f t="shared" si="213"/>
        <v>0</v>
      </c>
      <c r="P113" s="10">
        <f t="shared" si="213"/>
        <v>0</v>
      </c>
      <c r="Q113" s="9">
        <f t="shared" si="211"/>
        <v>542000</v>
      </c>
    </row>
    <row r="114" spans="1:17" s="29" customFormat="1" ht="18" customHeight="1" x14ac:dyDescent="0.2">
      <c r="A114" s="11" t="s">
        <v>330</v>
      </c>
      <c r="B114" s="11">
        <v>8220</v>
      </c>
      <c r="C114" s="43" t="s">
        <v>315</v>
      </c>
      <c r="D114" s="13" t="s">
        <v>331</v>
      </c>
      <c r="E114" s="14">
        <f t="shared" ref="E114" si="214">F114+I114</f>
        <v>0</v>
      </c>
      <c r="F114" s="15"/>
      <c r="G114" s="15"/>
      <c r="H114" s="15"/>
      <c r="I114" s="15"/>
      <c r="J114" s="14">
        <f t="shared" ref="J114" si="215">M114+P114</f>
        <v>0</v>
      </c>
      <c r="K114" s="15"/>
      <c r="L114" s="15"/>
      <c r="M114" s="15"/>
      <c r="N114" s="15"/>
      <c r="O114" s="15"/>
      <c r="P114" s="15"/>
      <c r="Q114" s="14">
        <f t="shared" ref="Q114" si="216">E114+J114</f>
        <v>0</v>
      </c>
    </row>
    <row r="115" spans="1:17" s="29" customFormat="1" ht="18" customHeight="1" x14ac:dyDescent="0.2">
      <c r="A115" s="11" t="s">
        <v>314</v>
      </c>
      <c r="B115" s="11">
        <v>8240</v>
      </c>
      <c r="C115" s="43" t="s">
        <v>315</v>
      </c>
      <c r="D115" s="13" t="s">
        <v>316</v>
      </c>
      <c r="E115" s="14">
        <f t="shared" si="209"/>
        <v>542000</v>
      </c>
      <c r="F115" s="15">
        <v>542000</v>
      </c>
      <c r="G115" s="15"/>
      <c r="H115" s="15"/>
      <c r="I115" s="15"/>
      <c r="J115" s="14">
        <f t="shared" si="210"/>
        <v>0</v>
      </c>
      <c r="K115" s="15"/>
      <c r="L115" s="15"/>
      <c r="M115" s="15"/>
      <c r="N115" s="15"/>
      <c r="O115" s="15"/>
      <c r="P115" s="15"/>
      <c r="Q115" s="14">
        <f t="shared" si="211"/>
        <v>542000</v>
      </c>
    </row>
    <row r="116" spans="1:17" s="29" customFormat="1" ht="18" customHeight="1" x14ac:dyDescent="0.2">
      <c r="A116" s="6" t="s">
        <v>114</v>
      </c>
      <c r="B116" s="6">
        <v>8300</v>
      </c>
      <c r="C116" s="28" t="s">
        <v>114</v>
      </c>
      <c r="D116" s="8" t="s">
        <v>124</v>
      </c>
      <c r="E116" s="9">
        <f t="shared" si="40"/>
        <v>0</v>
      </c>
      <c r="F116" s="10">
        <f>F117+F120+F121</f>
        <v>0</v>
      </c>
      <c r="G116" s="10">
        <f t="shared" ref="G116:I116" si="217">G117+G120+G121</f>
        <v>0</v>
      </c>
      <c r="H116" s="10">
        <f t="shared" si="217"/>
        <v>0</v>
      </c>
      <c r="I116" s="10">
        <f t="shared" si="217"/>
        <v>0</v>
      </c>
      <c r="J116" s="9">
        <f t="shared" si="7"/>
        <v>374000</v>
      </c>
      <c r="K116" s="10">
        <f t="shared" ref="K116:P116" si="218">K117+K120+K121</f>
        <v>0</v>
      </c>
      <c r="L116" s="10">
        <f t="shared" si="218"/>
        <v>0</v>
      </c>
      <c r="M116" s="10">
        <f t="shared" si="218"/>
        <v>265000</v>
      </c>
      <c r="N116" s="10">
        <f t="shared" si="218"/>
        <v>0</v>
      </c>
      <c r="O116" s="10">
        <f t="shared" si="218"/>
        <v>0</v>
      </c>
      <c r="P116" s="10">
        <f t="shared" si="218"/>
        <v>109000</v>
      </c>
      <c r="Q116" s="9">
        <f t="shared" si="3"/>
        <v>374000</v>
      </c>
    </row>
    <row r="117" spans="1:17" s="29" customFormat="1" ht="20.25" customHeight="1" x14ac:dyDescent="0.2">
      <c r="A117" s="11" t="s">
        <v>213</v>
      </c>
      <c r="B117" s="11" t="s">
        <v>114</v>
      </c>
      <c r="C117" s="12" t="s">
        <v>105</v>
      </c>
      <c r="D117" s="13" t="s">
        <v>214</v>
      </c>
      <c r="E117" s="14">
        <f t="shared" ref="E117:E118" si="219">F117+I117</f>
        <v>0</v>
      </c>
      <c r="F117" s="15">
        <f>F118+F119</f>
        <v>0</v>
      </c>
      <c r="G117" s="15">
        <f t="shared" ref="G117:P117" si="220">G118+G119</f>
        <v>0</v>
      </c>
      <c r="H117" s="15">
        <f t="shared" si="220"/>
        <v>0</v>
      </c>
      <c r="I117" s="15">
        <f t="shared" si="220"/>
        <v>0</v>
      </c>
      <c r="J117" s="54">
        <f t="shared" si="220"/>
        <v>109000</v>
      </c>
      <c r="K117" s="15">
        <f t="shared" si="220"/>
        <v>0</v>
      </c>
      <c r="L117" s="15">
        <f t="shared" si="220"/>
        <v>0</v>
      </c>
      <c r="M117" s="15">
        <f t="shared" si="220"/>
        <v>0</v>
      </c>
      <c r="N117" s="15">
        <f t="shared" si="220"/>
        <v>0</v>
      </c>
      <c r="O117" s="15">
        <f t="shared" si="220"/>
        <v>0</v>
      </c>
      <c r="P117" s="15">
        <f t="shared" si="220"/>
        <v>109000</v>
      </c>
      <c r="Q117" s="14">
        <f t="shared" ref="Q117:Q118" si="221">E117+J117</f>
        <v>109000</v>
      </c>
    </row>
    <row r="118" spans="1:17" s="29" customFormat="1" ht="20.25" hidden="1" customHeight="1" x14ac:dyDescent="0.2">
      <c r="A118" s="16" t="s">
        <v>340</v>
      </c>
      <c r="B118" s="16" t="s">
        <v>341</v>
      </c>
      <c r="C118" s="17" t="s">
        <v>342</v>
      </c>
      <c r="D118" s="18" t="s">
        <v>419</v>
      </c>
      <c r="E118" s="19">
        <f t="shared" si="219"/>
        <v>0</v>
      </c>
      <c r="F118" s="20"/>
      <c r="G118" s="20"/>
      <c r="H118" s="20"/>
      <c r="I118" s="20"/>
      <c r="J118" s="19">
        <f t="shared" ref="J118" si="222">M118+P118</f>
        <v>0</v>
      </c>
      <c r="K118" s="20"/>
      <c r="L118" s="20"/>
      <c r="M118" s="20"/>
      <c r="N118" s="20"/>
      <c r="O118" s="20"/>
      <c r="P118" s="20"/>
      <c r="Q118" s="19">
        <f t="shared" si="221"/>
        <v>0</v>
      </c>
    </row>
    <row r="119" spans="1:17" ht="18" customHeight="1" x14ac:dyDescent="0.2">
      <c r="A119" s="16" t="s">
        <v>57</v>
      </c>
      <c r="B119" s="16" t="s">
        <v>59</v>
      </c>
      <c r="C119" s="17" t="s">
        <v>58</v>
      </c>
      <c r="D119" s="18" t="s">
        <v>60</v>
      </c>
      <c r="E119" s="19">
        <f t="shared" si="40"/>
        <v>0</v>
      </c>
      <c r="F119" s="20"/>
      <c r="G119" s="20"/>
      <c r="H119" s="20"/>
      <c r="I119" s="20"/>
      <c r="J119" s="19">
        <f t="shared" si="7"/>
        <v>109000</v>
      </c>
      <c r="K119" s="20"/>
      <c r="L119" s="20"/>
      <c r="M119" s="20"/>
      <c r="N119" s="20"/>
      <c r="O119" s="20"/>
      <c r="P119" s="20">
        <v>109000</v>
      </c>
      <c r="Q119" s="19">
        <f t="shared" si="3"/>
        <v>109000</v>
      </c>
    </row>
    <row r="120" spans="1:17" ht="18" hidden="1" customHeight="1" x14ac:dyDescent="0.2">
      <c r="A120" s="11" t="s">
        <v>375</v>
      </c>
      <c r="B120" s="11">
        <v>8320</v>
      </c>
      <c r="C120" s="43" t="s">
        <v>376</v>
      </c>
      <c r="D120" s="13" t="s">
        <v>377</v>
      </c>
      <c r="E120" s="14">
        <f t="shared" ref="E120" si="223">F120+I120</f>
        <v>0</v>
      </c>
      <c r="F120" s="15"/>
      <c r="G120" s="15"/>
      <c r="H120" s="15"/>
      <c r="I120" s="15"/>
      <c r="J120" s="14">
        <f t="shared" ref="J120" si="224">M120+P120</f>
        <v>0</v>
      </c>
      <c r="K120" s="15"/>
      <c r="L120" s="15"/>
      <c r="M120" s="15"/>
      <c r="N120" s="15"/>
      <c r="O120" s="15"/>
      <c r="P120" s="15"/>
      <c r="Q120" s="14">
        <f t="shared" ref="Q120" si="225">E120+J120</f>
        <v>0</v>
      </c>
    </row>
    <row r="121" spans="1:17" ht="21" customHeight="1" x14ac:dyDescent="0.2">
      <c r="A121" s="11" t="s">
        <v>322</v>
      </c>
      <c r="B121" s="11">
        <v>8330</v>
      </c>
      <c r="C121" s="43" t="s">
        <v>324</v>
      </c>
      <c r="D121" s="13" t="s">
        <v>323</v>
      </c>
      <c r="E121" s="14">
        <f t="shared" ref="E121" si="226">F121+I121</f>
        <v>0</v>
      </c>
      <c r="F121" s="15"/>
      <c r="G121" s="15"/>
      <c r="H121" s="15"/>
      <c r="I121" s="15"/>
      <c r="J121" s="14">
        <f t="shared" ref="J121" si="227">M121+P121</f>
        <v>265000</v>
      </c>
      <c r="K121" s="15"/>
      <c r="L121" s="15"/>
      <c r="M121" s="15">
        <v>265000</v>
      </c>
      <c r="N121" s="15"/>
      <c r="O121" s="15"/>
      <c r="P121" s="15"/>
      <c r="Q121" s="14">
        <f t="shared" si="3"/>
        <v>265000</v>
      </c>
    </row>
    <row r="122" spans="1:17" ht="20.25" customHeight="1" x14ac:dyDescent="0.2">
      <c r="A122" s="6" t="s">
        <v>114</v>
      </c>
      <c r="B122" s="6">
        <v>8400</v>
      </c>
      <c r="C122" s="28" t="s">
        <v>114</v>
      </c>
      <c r="D122" s="8" t="s">
        <v>445</v>
      </c>
      <c r="E122" s="9">
        <f t="shared" ref="E122:E123" si="228">F122+I122</f>
        <v>150000</v>
      </c>
      <c r="F122" s="10">
        <f>F123</f>
        <v>150000</v>
      </c>
      <c r="G122" s="10">
        <f t="shared" ref="G122:I122" si="229">G123</f>
        <v>0</v>
      </c>
      <c r="H122" s="10">
        <f t="shared" si="229"/>
        <v>0</v>
      </c>
      <c r="I122" s="10">
        <f t="shared" si="229"/>
        <v>0</v>
      </c>
      <c r="J122" s="9">
        <f t="shared" ref="J122:J123" si="230">M122+P122</f>
        <v>0</v>
      </c>
      <c r="K122" s="10">
        <f t="shared" ref="K122:P122" si="231">K123</f>
        <v>0</v>
      </c>
      <c r="L122" s="10">
        <f t="shared" si="231"/>
        <v>0</v>
      </c>
      <c r="M122" s="10">
        <f t="shared" si="231"/>
        <v>0</v>
      </c>
      <c r="N122" s="10">
        <f t="shared" si="231"/>
        <v>0</v>
      </c>
      <c r="O122" s="10">
        <f t="shared" si="231"/>
        <v>0</v>
      </c>
      <c r="P122" s="10">
        <f t="shared" si="231"/>
        <v>0</v>
      </c>
      <c r="Q122" s="9">
        <f t="shared" ref="Q122:Q123" si="232">E122+J122</f>
        <v>150000</v>
      </c>
    </row>
    <row r="123" spans="1:17" ht="21" customHeight="1" x14ac:dyDescent="0.2">
      <c r="A123" s="11" t="s">
        <v>262</v>
      </c>
      <c r="B123" s="11">
        <v>8420</v>
      </c>
      <c r="D123" s="13" t="s">
        <v>446</v>
      </c>
      <c r="E123" s="14">
        <f t="shared" si="228"/>
        <v>150000</v>
      </c>
      <c r="F123" s="15">
        <v>150000</v>
      </c>
      <c r="G123" s="15"/>
      <c r="H123" s="15"/>
      <c r="I123" s="15"/>
      <c r="J123" s="14">
        <f t="shared" si="230"/>
        <v>0</v>
      </c>
      <c r="K123" s="15"/>
      <c r="L123" s="15"/>
      <c r="M123" s="15"/>
      <c r="N123" s="15"/>
      <c r="O123" s="15"/>
      <c r="P123" s="15"/>
      <c r="Q123" s="14">
        <f t="shared" si="232"/>
        <v>150000</v>
      </c>
    </row>
    <row r="124" spans="1:17" ht="18" customHeight="1" x14ac:dyDescent="0.2">
      <c r="A124" s="35" t="s">
        <v>64</v>
      </c>
      <c r="B124" s="36"/>
      <c r="C124" s="37"/>
      <c r="D124" s="38" t="s">
        <v>285</v>
      </c>
      <c r="E124" s="39">
        <f t="shared" ref="E124:E141" si="233">F124+I124</f>
        <v>143376329</v>
      </c>
      <c r="F124" s="39">
        <f>F125</f>
        <v>141787429</v>
      </c>
      <c r="G124" s="39">
        <f t="shared" ref="G124:I124" si="234">G125</f>
        <v>87890425</v>
      </c>
      <c r="H124" s="39">
        <f t="shared" si="234"/>
        <v>14991540</v>
      </c>
      <c r="I124" s="39">
        <f t="shared" si="234"/>
        <v>1588900</v>
      </c>
      <c r="J124" s="39">
        <f t="shared" ref="J124:J141" si="235">M124+P124</f>
        <v>10895876.85</v>
      </c>
      <c r="K124" s="39">
        <f t="shared" ref="K124:P124" si="236">K125</f>
        <v>6982750</v>
      </c>
      <c r="L124" s="39">
        <f t="shared" si="236"/>
        <v>6982750</v>
      </c>
      <c r="M124" s="39">
        <f t="shared" si="236"/>
        <v>4895876.8499999996</v>
      </c>
      <c r="N124" s="39">
        <f t="shared" si="236"/>
        <v>700000</v>
      </c>
      <c r="O124" s="39">
        <f t="shared" si="236"/>
        <v>110710</v>
      </c>
      <c r="P124" s="39">
        <f t="shared" si="236"/>
        <v>6000000</v>
      </c>
      <c r="Q124" s="39">
        <f t="shared" si="3"/>
        <v>154272205.84999999</v>
      </c>
    </row>
    <row r="125" spans="1:17" ht="17.25" customHeight="1" x14ac:dyDescent="0.2">
      <c r="A125" s="35" t="s">
        <v>65</v>
      </c>
      <c r="B125" s="36"/>
      <c r="C125" s="37"/>
      <c r="D125" s="38" t="s">
        <v>285</v>
      </c>
      <c r="E125" s="39">
        <f t="shared" si="233"/>
        <v>143376329</v>
      </c>
      <c r="F125" s="39">
        <f>F126+F128+F186+F192</f>
        <v>141787429</v>
      </c>
      <c r="G125" s="39">
        <f>G126+G128+G186+G192</f>
        <v>87890425</v>
      </c>
      <c r="H125" s="39">
        <f>H126+H128+H186+H192</f>
        <v>14991540</v>
      </c>
      <c r="I125" s="39">
        <f>I126+I128+I186+I192</f>
        <v>1588900</v>
      </c>
      <c r="J125" s="39">
        <f t="shared" si="235"/>
        <v>10895876.85</v>
      </c>
      <c r="K125" s="39">
        <f t="shared" ref="K125:P125" si="237">K126+K128+K186+K192</f>
        <v>6982750</v>
      </c>
      <c r="L125" s="39">
        <f t="shared" si="237"/>
        <v>6982750</v>
      </c>
      <c r="M125" s="39">
        <f t="shared" si="237"/>
        <v>4895876.8499999996</v>
      </c>
      <c r="N125" s="39">
        <f t="shared" si="237"/>
        <v>700000</v>
      </c>
      <c r="O125" s="39">
        <f t="shared" si="237"/>
        <v>110710</v>
      </c>
      <c r="P125" s="39">
        <f t="shared" si="237"/>
        <v>6000000</v>
      </c>
      <c r="Q125" s="39">
        <f t="shared" si="3"/>
        <v>154272205.84999999</v>
      </c>
    </row>
    <row r="126" spans="1:17" ht="18.75" customHeight="1" x14ac:dyDescent="0.2">
      <c r="A126" s="6" t="s">
        <v>114</v>
      </c>
      <c r="B126" s="27" t="s">
        <v>115</v>
      </c>
      <c r="C126" s="7" t="s">
        <v>114</v>
      </c>
      <c r="D126" s="8" t="s">
        <v>116</v>
      </c>
      <c r="E126" s="9">
        <f>F126+I126</f>
        <v>1746170</v>
      </c>
      <c r="F126" s="10">
        <f>F127</f>
        <v>1746170</v>
      </c>
      <c r="G126" s="10">
        <f t="shared" ref="G126:I126" si="238">G127</f>
        <v>791700</v>
      </c>
      <c r="H126" s="10">
        <f t="shared" si="238"/>
        <v>592020</v>
      </c>
      <c r="I126" s="10">
        <f t="shared" si="238"/>
        <v>0</v>
      </c>
      <c r="J126" s="9">
        <f>M126+P126</f>
        <v>0</v>
      </c>
      <c r="K126" s="10">
        <f>K127</f>
        <v>0</v>
      </c>
      <c r="L126" s="10">
        <f t="shared" ref="L126:P126" si="239">L127</f>
        <v>0</v>
      </c>
      <c r="M126" s="10">
        <f t="shared" si="239"/>
        <v>0</v>
      </c>
      <c r="N126" s="10">
        <f t="shared" si="239"/>
        <v>0</v>
      </c>
      <c r="O126" s="10">
        <f t="shared" si="239"/>
        <v>0</v>
      </c>
      <c r="P126" s="10">
        <f t="shared" si="239"/>
        <v>0</v>
      </c>
      <c r="Q126" s="9">
        <f t="shared" ref="Q126" si="240">E126+J126</f>
        <v>1746170</v>
      </c>
    </row>
    <row r="127" spans="1:17" ht="33" customHeight="1" x14ac:dyDescent="0.2">
      <c r="A127" s="11" t="s">
        <v>66</v>
      </c>
      <c r="B127" s="11" t="s">
        <v>67</v>
      </c>
      <c r="C127" s="12" t="s">
        <v>15</v>
      </c>
      <c r="D127" s="13" t="s">
        <v>447</v>
      </c>
      <c r="E127" s="14">
        <f t="shared" si="233"/>
        <v>1746170</v>
      </c>
      <c r="F127" s="15">
        <f>1432910+234760+78500</f>
        <v>1746170</v>
      </c>
      <c r="G127" s="15">
        <f>569000+222700</f>
        <v>791700</v>
      </c>
      <c r="H127" s="15">
        <f>513520+78500</f>
        <v>592020</v>
      </c>
      <c r="I127" s="15"/>
      <c r="J127" s="14">
        <f t="shared" si="235"/>
        <v>0</v>
      </c>
      <c r="K127" s="15"/>
      <c r="L127" s="15"/>
      <c r="M127" s="15"/>
      <c r="N127" s="15"/>
      <c r="O127" s="15"/>
      <c r="P127" s="15"/>
      <c r="Q127" s="14">
        <f t="shared" si="3"/>
        <v>1746170</v>
      </c>
    </row>
    <row r="128" spans="1:17" ht="18.75" customHeight="1" x14ac:dyDescent="0.2">
      <c r="A128" s="6" t="s">
        <v>114</v>
      </c>
      <c r="B128" s="27" t="s">
        <v>128</v>
      </c>
      <c r="C128" s="7" t="s">
        <v>114</v>
      </c>
      <c r="D128" s="8" t="s">
        <v>129</v>
      </c>
      <c r="E128" s="9">
        <f>F128+I128</f>
        <v>138327014</v>
      </c>
      <c r="F128" s="10">
        <f>F129+F132+F136+F138+F141+F142+F143+F149+F154+F155+F158+F163+F164+F165+F168+F171+F176+F179+F180+F181+F183+F184+F185</f>
        <v>136738114</v>
      </c>
      <c r="G128" s="10">
        <f>G129+G132+G136+G138+G141+G142+G143+G149+G154+G155+G158+G163+G164+G165+G168+G171+G176+G179+G180+G181+G183+G184+G185</f>
        <v>85368925</v>
      </c>
      <c r="H128" s="10">
        <f>H129+H132+H136+H138+H141+H142+H143+H149+H154+H155+H158+H163+H164+H165+H168+H171+H176+H179+H180+H181+H183+H184+H185</f>
        <v>13762855</v>
      </c>
      <c r="I128" s="10">
        <f>I129+I132+I136+I138+I141+I142+I143+I149+I154+I155+I158+I163+I164+I165+I168+I171+I176+I179+I180+I181+I183+I184+I185</f>
        <v>1588900</v>
      </c>
      <c r="J128" s="9">
        <f>M128+P128</f>
        <v>10895876.85</v>
      </c>
      <c r="K128" s="10">
        <f t="shared" ref="K128:P128" si="241">K129+K132+K136+K138+K141+K142+K143+K149+K154+K155+K158+K163+K164+K165+K168+K171+K176+K179+K180+K181+K183+K184+K185</f>
        <v>6982750</v>
      </c>
      <c r="L128" s="10">
        <f t="shared" si="241"/>
        <v>6982750</v>
      </c>
      <c r="M128" s="10">
        <f t="shared" si="241"/>
        <v>4895876.8499999996</v>
      </c>
      <c r="N128" s="10">
        <f t="shared" si="241"/>
        <v>700000</v>
      </c>
      <c r="O128" s="10">
        <f t="shared" si="241"/>
        <v>110710</v>
      </c>
      <c r="P128" s="10">
        <f t="shared" si="241"/>
        <v>6000000</v>
      </c>
      <c r="Q128" s="9">
        <f t="shared" si="3"/>
        <v>149222890.84999999</v>
      </c>
    </row>
    <row r="129" spans="1:17" ht="18.75" customHeight="1" x14ac:dyDescent="0.2">
      <c r="A129" s="11" t="s">
        <v>68</v>
      </c>
      <c r="B129" s="11" t="s">
        <v>70</v>
      </c>
      <c r="C129" s="12" t="s">
        <v>69</v>
      </c>
      <c r="D129" s="13" t="s">
        <v>107</v>
      </c>
      <c r="E129" s="14">
        <f t="shared" si="233"/>
        <v>38083885</v>
      </c>
      <c r="F129" s="15">
        <f>F130+F131</f>
        <v>37989885</v>
      </c>
      <c r="G129" s="15">
        <f>G130+G131</f>
        <v>23922500</v>
      </c>
      <c r="H129" s="15">
        <f>H130+H131</f>
        <v>4761965</v>
      </c>
      <c r="I129" s="15">
        <f>I130+I131</f>
        <v>94000</v>
      </c>
      <c r="J129" s="14">
        <f t="shared" si="235"/>
        <v>2000000</v>
      </c>
      <c r="K129" s="15">
        <f t="shared" ref="K129:P129" si="242">K130+K131</f>
        <v>0</v>
      </c>
      <c r="L129" s="15">
        <f t="shared" si="242"/>
        <v>0</v>
      </c>
      <c r="M129" s="15">
        <f t="shared" si="242"/>
        <v>2000000</v>
      </c>
      <c r="N129" s="15">
        <f t="shared" si="242"/>
        <v>0</v>
      </c>
      <c r="O129" s="15">
        <f t="shared" si="242"/>
        <v>0</v>
      </c>
      <c r="P129" s="15">
        <f t="shared" si="242"/>
        <v>0</v>
      </c>
      <c r="Q129" s="14">
        <f t="shared" si="3"/>
        <v>40083885</v>
      </c>
    </row>
    <row r="130" spans="1:17" ht="64.5" customHeight="1" x14ac:dyDescent="0.2">
      <c r="A130" s="16" t="s">
        <v>68</v>
      </c>
      <c r="B130" s="16" t="s">
        <v>70</v>
      </c>
      <c r="C130" s="17" t="s">
        <v>69</v>
      </c>
      <c r="D130" s="18" t="s">
        <v>452</v>
      </c>
      <c r="E130" s="19">
        <f t="shared" si="233"/>
        <v>3762500</v>
      </c>
      <c r="F130" s="20">
        <v>3762500</v>
      </c>
      <c r="G130" s="20">
        <v>3084100</v>
      </c>
      <c r="H130" s="20"/>
      <c r="I130" s="20"/>
      <c r="J130" s="19">
        <f t="shared" si="235"/>
        <v>0</v>
      </c>
      <c r="K130" s="20"/>
      <c r="L130" s="20"/>
      <c r="M130" s="20"/>
      <c r="N130" s="20"/>
      <c r="O130" s="20"/>
      <c r="P130" s="20"/>
      <c r="Q130" s="19">
        <f t="shared" ref="Q130" si="243">E130+J130</f>
        <v>3762500</v>
      </c>
    </row>
    <row r="131" spans="1:17" ht="19.5" customHeight="1" x14ac:dyDescent="0.2">
      <c r="A131" s="16" t="s">
        <v>68</v>
      </c>
      <c r="B131" s="16" t="s">
        <v>70</v>
      </c>
      <c r="C131" s="17" t="s">
        <v>69</v>
      </c>
      <c r="D131" s="18" t="s">
        <v>231</v>
      </c>
      <c r="E131" s="19">
        <f t="shared" ref="E131" si="244">F131+I131</f>
        <v>34321385</v>
      </c>
      <c r="F131" s="20">
        <f>35662450+2432075-3762500+181560-3000-283200</f>
        <v>34227385</v>
      </c>
      <c r="G131" s="20">
        <f>21929000+1993500-3084100</f>
        <v>20838400</v>
      </c>
      <c r="H131" s="20">
        <f>4610105+151860</f>
        <v>4761965</v>
      </c>
      <c r="I131" s="20">
        <f>91000+3000</f>
        <v>94000</v>
      </c>
      <c r="J131" s="19">
        <f t="shared" ref="J131" si="245">M131+P131</f>
        <v>2000000</v>
      </c>
      <c r="K131" s="20"/>
      <c r="L131" s="20"/>
      <c r="M131" s="20">
        <v>2000000</v>
      </c>
      <c r="N131" s="20"/>
      <c r="O131" s="20"/>
      <c r="P131" s="20"/>
      <c r="Q131" s="19">
        <f t="shared" ref="Q131" si="246">E131+J131</f>
        <v>36321385</v>
      </c>
    </row>
    <row r="132" spans="1:17" ht="20.25" customHeight="1" x14ac:dyDescent="0.2">
      <c r="A132" s="11" t="s">
        <v>71</v>
      </c>
      <c r="B132" s="11" t="s">
        <v>114</v>
      </c>
      <c r="C132" s="12" t="s">
        <v>114</v>
      </c>
      <c r="D132" s="13" t="s">
        <v>236</v>
      </c>
      <c r="E132" s="14">
        <f t="shared" si="233"/>
        <v>29343974</v>
      </c>
      <c r="F132" s="15">
        <f>F133+F134+F135</f>
        <v>28146074</v>
      </c>
      <c r="G132" s="15">
        <f t="shared" ref="G132:I132" si="247">G133+G134+G135</f>
        <v>11332200</v>
      </c>
      <c r="H132" s="15">
        <f t="shared" si="247"/>
        <v>8540075</v>
      </c>
      <c r="I132" s="15">
        <f t="shared" si="247"/>
        <v>1197900</v>
      </c>
      <c r="J132" s="14">
        <f t="shared" si="235"/>
        <v>0</v>
      </c>
      <c r="K132" s="15">
        <f t="shared" ref="K132:P132" si="248">K133+K134+K135</f>
        <v>0</v>
      </c>
      <c r="L132" s="15">
        <f t="shared" si="248"/>
        <v>0</v>
      </c>
      <c r="M132" s="15">
        <f t="shared" si="248"/>
        <v>0</v>
      </c>
      <c r="N132" s="15">
        <f t="shared" si="248"/>
        <v>0</v>
      </c>
      <c r="O132" s="15">
        <f t="shared" si="248"/>
        <v>0</v>
      </c>
      <c r="P132" s="15">
        <f t="shared" si="248"/>
        <v>0</v>
      </c>
      <c r="Q132" s="14">
        <f t="shared" si="3"/>
        <v>29343974</v>
      </c>
    </row>
    <row r="133" spans="1:17" ht="41.25" customHeight="1" x14ac:dyDescent="0.2">
      <c r="A133" s="47" t="s">
        <v>235</v>
      </c>
      <c r="B133" s="16">
        <v>1021</v>
      </c>
      <c r="C133" s="17" t="s">
        <v>72</v>
      </c>
      <c r="D133" s="18" t="s">
        <v>332</v>
      </c>
      <c r="E133" s="19">
        <f t="shared" si="233"/>
        <v>29343974</v>
      </c>
      <c r="F133" s="20">
        <f>26489674+1152050+172150-600000+932200</f>
        <v>28146074</v>
      </c>
      <c r="G133" s="20">
        <f>10387800+944400</f>
        <v>11332200</v>
      </c>
      <c r="H133" s="20">
        <f>8412525+127550</f>
        <v>8540075</v>
      </c>
      <c r="I133" s="20">
        <f>239900+358000+600000</f>
        <v>1197900</v>
      </c>
      <c r="J133" s="19">
        <f t="shared" si="235"/>
        <v>0</v>
      </c>
      <c r="K133" s="20"/>
      <c r="L133" s="20"/>
      <c r="M133" s="20"/>
      <c r="N133" s="20"/>
      <c r="O133" s="20"/>
      <c r="P133" s="20"/>
      <c r="Q133" s="19">
        <f t="shared" si="3"/>
        <v>29343974</v>
      </c>
    </row>
    <row r="134" spans="1:17" ht="42" hidden="1" customHeight="1" x14ac:dyDescent="0.2">
      <c r="A134" s="16" t="s">
        <v>235</v>
      </c>
      <c r="B134" s="16">
        <v>1021</v>
      </c>
      <c r="C134" s="17" t="s">
        <v>72</v>
      </c>
      <c r="D134" s="18" t="s">
        <v>312</v>
      </c>
      <c r="E134" s="19">
        <f t="shared" si="233"/>
        <v>0</v>
      </c>
      <c r="F134" s="20"/>
      <c r="G134" s="20"/>
      <c r="H134" s="20"/>
      <c r="I134" s="20"/>
      <c r="J134" s="19">
        <f t="shared" si="235"/>
        <v>0</v>
      </c>
      <c r="K134" s="20"/>
      <c r="L134" s="20"/>
      <c r="M134" s="20"/>
      <c r="N134" s="20"/>
      <c r="O134" s="20"/>
      <c r="P134" s="20"/>
      <c r="Q134" s="19">
        <f>E134+J134</f>
        <v>0</v>
      </c>
    </row>
    <row r="135" spans="1:17" ht="73.5" hidden="1" customHeight="1" x14ac:dyDescent="0.2">
      <c r="A135" s="16" t="s">
        <v>235</v>
      </c>
      <c r="B135" s="16">
        <v>1021</v>
      </c>
      <c r="C135" s="17" t="s">
        <v>72</v>
      </c>
      <c r="D135" s="18" t="s">
        <v>237</v>
      </c>
      <c r="E135" s="19">
        <f t="shared" si="233"/>
        <v>0</v>
      </c>
      <c r="F135" s="20"/>
      <c r="G135" s="20"/>
      <c r="H135" s="20"/>
      <c r="I135" s="20"/>
      <c r="J135" s="19">
        <f t="shared" si="235"/>
        <v>0</v>
      </c>
      <c r="K135" s="20"/>
      <c r="L135" s="20"/>
      <c r="M135" s="20"/>
      <c r="N135" s="20"/>
      <c r="O135" s="20"/>
      <c r="P135" s="20"/>
      <c r="Q135" s="19">
        <f>E135+J135</f>
        <v>0</v>
      </c>
    </row>
    <row r="136" spans="1:17" ht="21.75" customHeight="1" x14ac:dyDescent="0.2">
      <c r="A136" s="11" t="s">
        <v>238</v>
      </c>
      <c r="B136" s="11" t="s">
        <v>114</v>
      </c>
      <c r="C136" s="12" t="s">
        <v>114</v>
      </c>
      <c r="D136" s="13" t="s">
        <v>239</v>
      </c>
      <c r="E136" s="14">
        <f t="shared" ref="E136:E137" si="249">F136+I136</f>
        <v>44124100</v>
      </c>
      <c r="F136" s="15">
        <f>F137</f>
        <v>44124100</v>
      </c>
      <c r="G136" s="15">
        <f t="shared" ref="G136:I136" si="250">G137</f>
        <v>36167400</v>
      </c>
      <c r="H136" s="15">
        <f t="shared" si="250"/>
        <v>0</v>
      </c>
      <c r="I136" s="15">
        <f t="shared" si="250"/>
        <v>0</v>
      </c>
      <c r="J136" s="14">
        <f t="shared" ref="J136:J137" si="251">M136+P136</f>
        <v>0</v>
      </c>
      <c r="K136" s="15">
        <f t="shared" ref="K136:P136" si="252">K137</f>
        <v>0</v>
      </c>
      <c r="L136" s="15">
        <f t="shared" si="252"/>
        <v>0</v>
      </c>
      <c r="M136" s="15">
        <f t="shared" si="252"/>
        <v>0</v>
      </c>
      <c r="N136" s="15">
        <f t="shared" si="252"/>
        <v>0</v>
      </c>
      <c r="O136" s="15">
        <f t="shared" si="252"/>
        <v>0</v>
      </c>
      <c r="P136" s="15">
        <f t="shared" si="252"/>
        <v>0</v>
      </c>
      <c r="Q136" s="14">
        <f t="shared" ref="Q136:Q137" si="253">E136+J136</f>
        <v>44124100</v>
      </c>
    </row>
    <row r="137" spans="1:17" ht="21" customHeight="1" x14ac:dyDescent="0.2">
      <c r="A137" s="47" t="s">
        <v>240</v>
      </c>
      <c r="B137" s="16">
        <v>1031</v>
      </c>
      <c r="C137" s="17" t="s">
        <v>72</v>
      </c>
      <c r="D137" s="18" t="s">
        <v>333</v>
      </c>
      <c r="E137" s="19">
        <f t="shared" si="249"/>
        <v>44124100</v>
      </c>
      <c r="F137" s="20">
        <v>44124100</v>
      </c>
      <c r="G137" s="20">
        <v>36167400</v>
      </c>
      <c r="H137" s="20"/>
      <c r="I137" s="20"/>
      <c r="J137" s="19">
        <f t="shared" si="251"/>
        <v>0</v>
      </c>
      <c r="K137" s="20"/>
      <c r="L137" s="20"/>
      <c r="M137" s="20"/>
      <c r="N137" s="20"/>
      <c r="O137" s="20"/>
      <c r="P137" s="20"/>
      <c r="Q137" s="19">
        <f t="shared" si="253"/>
        <v>44124100</v>
      </c>
    </row>
    <row r="138" spans="1:17" ht="64.5" hidden="1" customHeight="1" x14ac:dyDescent="0.2">
      <c r="A138" s="43" t="s">
        <v>268</v>
      </c>
      <c r="B138" s="11" t="s">
        <v>114</v>
      </c>
      <c r="C138" s="12" t="s">
        <v>114</v>
      </c>
      <c r="D138" s="13" t="s">
        <v>359</v>
      </c>
      <c r="E138" s="14">
        <f>F138+I138</f>
        <v>0</v>
      </c>
      <c r="F138" s="15">
        <f>F139</f>
        <v>0</v>
      </c>
      <c r="G138" s="15">
        <f>G139</f>
        <v>0</v>
      </c>
      <c r="H138" s="15">
        <f>H139</f>
        <v>0</v>
      </c>
      <c r="I138" s="15">
        <f>I139</f>
        <v>0</v>
      </c>
      <c r="J138" s="14">
        <f t="shared" ref="J138:J139" si="254">M138+P138</f>
        <v>0</v>
      </c>
      <c r="K138" s="15">
        <f t="shared" ref="K138:P138" si="255">K139</f>
        <v>0</v>
      </c>
      <c r="L138" s="15">
        <f t="shared" si="255"/>
        <v>0</v>
      </c>
      <c r="M138" s="15">
        <f t="shared" si="255"/>
        <v>0</v>
      </c>
      <c r="N138" s="15">
        <f t="shared" si="255"/>
        <v>0</v>
      </c>
      <c r="O138" s="15">
        <f t="shared" si="255"/>
        <v>0</v>
      </c>
      <c r="P138" s="15">
        <f t="shared" si="255"/>
        <v>0</v>
      </c>
      <c r="Q138" s="14">
        <f t="shared" ref="Q138:Q139" si="256">E138+J138</f>
        <v>0</v>
      </c>
    </row>
    <row r="139" spans="1:17" ht="62.25" hidden="1" customHeight="1" x14ac:dyDescent="0.2">
      <c r="A139" s="47" t="s">
        <v>269</v>
      </c>
      <c r="B139" s="47" t="s">
        <v>270</v>
      </c>
      <c r="C139" s="47" t="s">
        <v>72</v>
      </c>
      <c r="D139" s="18" t="s">
        <v>360</v>
      </c>
      <c r="E139" s="19">
        <f t="shared" ref="E139" si="257">F139+I139</f>
        <v>0</v>
      </c>
      <c r="F139" s="20"/>
      <c r="G139" s="20"/>
      <c r="H139" s="20"/>
      <c r="I139" s="20"/>
      <c r="J139" s="19">
        <f t="shared" si="254"/>
        <v>0</v>
      </c>
      <c r="K139" s="20"/>
      <c r="L139" s="20"/>
      <c r="M139" s="20"/>
      <c r="N139" s="20"/>
      <c r="O139" s="20"/>
      <c r="P139" s="20"/>
      <c r="Q139" s="19">
        <f t="shared" si="256"/>
        <v>0</v>
      </c>
    </row>
    <row r="140" spans="1:17" ht="9" hidden="1" customHeight="1" x14ac:dyDescent="0.2">
      <c r="A140" s="47"/>
      <c r="B140" s="47"/>
      <c r="C140" s="47"/>
      <c r="D140" s="18"/>
      <c r="E140" s="19"/>
      <c r="F140" s="20"/>
      <c r="G140" s="20"/>
      <c r="H140" s="20"/>
      <c r="I140" s="20"/>
      <c r="J140" s="19"/>
      <c r="K140" s="20"/>
      <c r="L140" s="20"/>
      <c r="M140" s="20"/>
      <c r="N140" s="20"/>
      <c r="O140" s="20"/>
      <c r="P140" s="20"/>
      <c r="Q140" s="19"/>
    </row>
    <row r="141" spans="1:17" ht="28.5" customHeight="1" x14ac:dyDescent="0.2">
      <c r="A141" s="11" t="s">
        <v>241</v>
      </c>
      <c r="B141" s="11">
        <v>1070</v>
      </c>
      <c r="C141" s="12" t="s">
        <v>74</v>
      </c>
      <c r="D141" s="13" t="s">
        <v>138</v>
      </c>
      <c r="E141" s="14">
        <f t="shared" si="233"/>
        <v>2118990</v>
      </c>
      <c r="F141" s="15">
        <f>1977590+141400</f>
        <v>2118990</v>
      </c>
      <c r="G141" s="15">
        <f>1290700+117300</f>
        <v>1408000</v>
      </c>
      <c r="H141" s="15">
        <v>240490</v>
      </c>
      <c r="I141" s="15"/>
      <c r="J141" s="14">
        <f t="shared" si="235"/>
        <v>0</v>
      </c>
      <c r="K141" s="15"/>
      <c r="L141" s="15"/>
      <c r="M141" s="15"/>
      <c r="N141" s="15"/>
      <c r="O141" s="15"/>
      <c r="P141" s="15"/>
      <c r="Q141" s="14">
        <f t="shared" ref="Q141:Q208" si="258">E141+J141</f>
        <v>2118990</v>
      </c>
    </row>
    <row r="142" spans="1:17" ht="18" hidden="1" customHeight="1" x14ac:dyDescent="0.2">
      <c r="A142" s="11" t="s">
        <v>243</v>
      </c>
      <c r="B142" s="11">
        <v>1130</v>
      </c>
      <c r="C142" s="43" t="s">
        <v>76</v>
      </c>
      <c r="D142" s="13" t="s">
        <v>139</v>
      </c>
      <c r="E142" s="14">
        <f t="shared" ref="E142:E148" si="259">F142+I142</f>
        <v>0</v>
      </c>
      <c r="F142" s="15"/>
      <c r="G142" s="15"/>
      <c r="H142" s="15"/>
      <c r="I142" s="15"/>
      <c r="J142" s="14">
        <f t="shared" ref="J142:J148" si="260">M142+P142</f>
        <v>0</v>
      </c>
      <c r="K142" s="15"/>
      <c r="L142" s="15"/>
      <c r="M142" s="15"/>
      <c r="N142" s="15"/>
      <c r="O142" s="15"/>
      <c r="P142" s="15"/>
      <c r="Q142" s="14">
        <f t="shared" si="258"/>
        <v>0</v>
      </c>
    </row>
    <row r="143" spans="1:17" ht="17.25" customHeight="1" x14ac:dyDescent="0.2">
      <c r="A143" s="11" t="s">
        <v>249</v>
      </c>
      <c r="B143" s="11" t="s">
        <v>114</v>
      </c>
      <c r="C143" s="12" t="s">
        <v>114</v>
      </c>
      <c r="D143" s="13" t="s">
        <v>218</v>
      </c>
      <c r="E143" s="14">
        <f t="shared" si="259"/>
        <v>11680410</v>
      </c>
      <c r="F143" s="15">
        <f>F144+F148</f>
        <v>11555410</v>
      </c>
      <c r="G143" s="15">
        <f t="shared" ref="G143:I143" si="261">G144+G148</f>
        <v>7069500</v>
      </c>
      <c r="H143" s="15">
        <f t="shared" si="261"/>
        <v>141900</v>
      </c>
      <c r="I143" s="15">
        <f t="shared" si="261"/>
        <v>125000</v>
      </c>
      <c r="J143" s="14">
        <f t="shared" si="260"/>
        <v>1360000</v>
      </c>
      <c r="K143" s="15">
        <f t="shared" ref="K143:P143" si="262">K144+K148</f>
        <v>0</v>
      </c>
      <c r="L143" s="15">
        <f t="shared" si="262"/>
        <v>0</v>
      </c>
      <c r="M143" s="15">
        <f t="shared" si="262"/>
        <v>1360000</v>
      </c>
      <c r="N143" s="15">
        <f t="shared" si="262"/>
        <v>700000</v>
      </c>
      <c r="O143" s="15">
        <f t="shared" si="262"/>
        <v>110710</v>
      </c>
      <c r="P143" s="15">
        <f t="shared" si="262"/>
        <v>0</v>
      </c>
      <c r="Q143" s="14">
        <f t="shared" si="258"/>
        <v>13040410</v>
      </c>
    </row>
    <row r="144" spans="1:17" ht="18" customHeight="1" x14ac:dyDescent="0.2">
      <c r="A144" s="16" t="s">
        <v>250</v>
      </c>
      <c r="B144" s="16">
        <v>1141</v>
      </c>
      <c r="C144" s="47" t="s">
        <v>76</v>
      </c>
      <c r="D144" s="18" t="s">
        <v>232</v>
      </c>
      <c r="E144" s="19">
        <f t="shared" si="259"/>
        <v>11520710</v>
      </c>
      <c r="F144" s="20">
        <f>F145+F146+F147</f>
        <v>11395710</v>
      </c>
      <c r="G144" s="20">
        <f t="shared" ref="G144:I144" si="263">G145+G146+G147</f>
        <v>7069500</v>
      </c>
      <c r="H144" s="20">
        <f t="shared" si="263"/>
        <v>141900</v>
      </c>
      <c r="I144" s="20">
        <f t="shared" si="263"/>
        <v>125000</v>
      </c>
      <c r="J144" s="19">
        <f t="shared" si="260"/>
        <v>1360000</v>
      </c>
      <c r="K144" s="20">
        <f t="shared" ref="K144:P144" si="264">K145+K146+K147</f>
        <v>0</v>
      </c>
      <c r="L144" s="20">
        <f t="shared" si="264"/>
        <v>0</v>
      </c>
      <c r="M144" s="20">
        <f t="shared" si="264"/>
        <v>1360000</v>
      </c>
      <c r="N144" s="20">
        <f t="shared" si="264"/>
        <v>700000</v>
      </c>
      <c r="O144" s="20">
        <f t="shared" si="264"/>
        <v>110710</v>
      </c>
      <c r="P144" s="20">
        <f t="shared" si="264"/>
        <v>0</v>
      </c>
      <c r="Q144" s="19">
        <f t="shared" si="258"/>
        <v>12880710</v>
      </c>
    </row>
    <row r="145" spans="1:17" ht="20.25" customHeight="1" x14ac:dyDescent="0.2">
      <c r="A145" s="16" t="s">
        <v>250</v>
      </c>
      <c r="B145" s="16">
        <v>1141</v>
      </c>
      <c r="C145" s="47" t="s">
        <v>76</v>
      </c>
      <c r="D145" s="18" t="s">
        <v>233</v>
      </c>
      <c r="E145" s="19">
        <f t="shared" ref="E145:E146" si="265">F145+I145</f>
        <v>2757860</v>
      </c>
      <c r="F145" s="20">
        <f>2469160+208700</f>
        <v>2677860</v>
      </c>
      <c r="G145" s="20">
        <f>1882300+171100</f>
        <v>2053400</v>
      </c>
      <c r="H145" s="20">
        <v>23200</v>
      </c>
      <c r="I145" s="20">
        <v>80000</v>
      </c>
      <c r="J145" s="19">
        <f t="shared" ref="J145:J146" si="266">M145+P145</f>
        <v>0</v>
      </c>
      <c r="K145" s="20"/>
      <c r="L145" s="20"/>
      <c r="M145" s="20"/>
      <c r="N145" s="20"/>
      <c r="O145" s="20"/>
      <c r="P145" s="20"/>
      <c r="Q145" s="19">
        <f t="shared" ref="Q145:Q146" si="267">E145+J145</f>
        <v>2757860</v>
      </c>
    </row>
    <row r="146" spans="1:17" ht="20.25" customHeight="1" x14ac:dyDescent="0.2">
      <c r="A146" s="16" t="s">
        <v>250</v>
      </c>
      <c r="B146" s="16">
        <v>1141</v>
      </c>
      <c r="C146" s="47" t="s">
        <v>76</v>
      </c>
      <c r="D146" s="18" t="s">
        <v>234</v>
      </c>
      <c r="E146" s="19">
        <f t="shared" si="265"/>
        <v>7038450</v>
      </c>
      <c r="F146" s="20">
        <f>6627110+374340+17000</f>
        <v>7018450</v>
      </c>
      <c r="G146" s="20">
        <f>3476000+316000</f>
        <v>3792000</v>
      </c>
      <c r="H146" s="20">
        <f>101700+17000</f>
        <v>118700</v>
      </c>
      <c r="I146" s="20">
        <v>20000</v>
      </c>
      <c r="J146" s="19">
        <f t="shared" si="266"/>
        <v>1360000</v>
      </c>
      <c r="K146" s="20"/>
      <c r="L146" s="20"/>
      <c r="M146" s="20">
        <v>1360000</v>
      </c>
      <c r="N146" s="20">
        <v>700000</v>
      </c>
      <c r="O146" s="20">
        <v>110710</v>
      </c>
      <c r="P146" s="20"/>
      <c r="Q146" s="19">
        <f t="shared" si="267"/>
        <v>8398450</v>
      </c>
    </row>
    <row r="147" spans="1:17" ht="30.75" customHeight="1" x14ac:dyDescent="0.2">
      <c r="A147" s="16" t="s">
        <v>250</v>
      </c>
      <c r="B147" s="16">
        <v>1141</v>
      </c>
      <c r="C147" s="47" t="s">
        <v>76</v>
      </c>
      <c r="D147" s="18" t="s">
        <v>337</v>
      </c>
      <c r="E147" s="19">
        <f t="shared" ref="E147" si="268">F147+I147</f>
        <v>1724400</v>
      </c>
      <c r="F147" s="20">
        <f>1574960+124440</f>
        <v>1699400</v>
      </c>
      <c r="G147" s="20">
        <f>1122100+102000</f>
        <v>1224100</v>
      </c>
      <c r="H147" s="20"/>
      <c r="I147" s="20">
        <v>25000</v>
      </c>
      <c r="J147" s="19">
        <f t="shared" ref="J147" si="269">M147+P147</f>
        <v>0</v>
      </c>
      <c r="K147" s="20"/>
      <c r="L147" s="20"/>
      <c r="M147" s="20"/>
      <c r="N147" s="20"/>
      <c r="O147" s="20"/>
      <c r="P147" s="20"/>
      <c r="Q147" s="19">
        <f t="shared" ref="Q147" si="270">E147+J147</f>
        <v>1724400</v>
      </c>
    </row>
    <row r="148" spans="1:17" ht="19.5" customHeight="1" x14ac:dyDescent="0.2">
      <c r="A148" s="16" t="s">
        <v>251</v>
      </c>
      <c r="B148" s="16">
        <v>1142</v>
      </c>
      <c r="C148" s="47" t="s">
        <v>76</v>
      </c>
      <c r="D148" s="18" t="s">
        <v>77</v>
      </c>
      <c r="E148" s="19">
        <f t="shared" si="259"/>
        <v>159700</v>
      </c>
      <c r="F148" s="20">
        <v>159700</v>
      </c>
      <c r="G148" s="20"/>
      <c r="H148" s="20"/>
      <c r="I148" s="20"/>
      <c r="J148" s="19">
        <f t="shared" si="260"/>
        <v>0</v>
      </c>
      <c r="K148" s="20"/>
      <c r="L148" s="20"/>
      <c r="M148" s="20"/>
      <c r="N148" s="20"/>
      <c r="O148" s="20"/>
      <c r="P148" s="20"/>
      <c r="Q148" s="19">
        <f t="shared" si="258"/>
        <v>159700</v>
      </c>
    </row>
    <row r="149" spans="1:17" ht="18.75" customHeight="1" x14ac:dyDescent="0.2">
      <c r="A149" s="11" t="s">
        <v>75</v>
      </c>
      <c r="B149" s="11" t="s">
        <v>114</v>
      </c>
      <c r="C149" s="12" t="s">
        <v>114</v>
      </c>
      <c r="D149" s="13" t="s">
        <v>244</v>
      </c>
      <c r="E149" s="14">
        <f t="shared" ref="E149:E151" si="271">F149+I149</f>
        <v>1875205</v>
      </c>
      <c r="F149" s="15">
        <f>F150+F151+F152+F153</f>
        <v>1703205</v>
      </c>
      <c r="G149" s="15">
        <f t="shared" ref="G149:K149" si="272">G150+G151+G152+G153</f>
        <v>1143875</v>
      </c>
      <c r="H149" s="15">
        <f t="shared" si="272"/>
        <v>78425</v>
      </c>
      <c r="I149" s="15">
        <f t="shared" si="272"/>
        <v>172000</v>
      </c>
      <c r="J149" s="14">
        <f t="shared" ref="J149:J151" si="273">M149+P149</f>
        <v>0</v>
      </c>
      <c r="K149" s="15">
        <f t="shared" si="272"/>
        <v>0</v>
      </c>
      <c r="L149" s="15">
        <f t="shared" ref="L149:P149" si="274">L150+L151+L152+L153</f>
        <v>0</v>
      </c>
      <c r="M149" s="15">
        <f t="shared" si="274"/>
        <v>0</v>
      </c>
      <c r="N149" s="15">
        <f t="shared" si="274"/>
        <v>0</v>
      </c>
      <c r="O149" s="15">
        <f t="shared" si="274"/>
        <v>0</v>
      </c>
      <c r="P149" s="15">
        <f t="shared" si="274"/>
        <v>0</v>
      </c>
      <c r="Q149" s="14">
        <f t="shared" ref="Q149:Q151" si="275">E149+J149</f>
        <v>1875205</v>
      </c>
    </row>
    <row r="150" spans="1:17" ht="19.5" customHeight="1" x14ac:dyDescent="0.2">
      <c r="A150" s="16" t="s">
        <v>245</v>
      </c>
      <c r="B150" s="16">
        <v>1151</v>
      </c>
      <c r="C150" s="47" t="s">
        <v>76</v>
      </c>
      <c r="D150" s="18" t="s">
        <v>246</v>
      </c>
      <c r="E150" s="19">
        <f t="shared" ref="E150" si="276">F150+I150</f>
        <v>640405</v>
      </c>
      <c r="F150" s="20">
        <f>451405+17000</f>
        <v>468405</v>
      </c>
      <c r="G150" s="20">
        <v>114875</v>
      </c>
      <c r="H150" s="20">
        <v>78425</v>
      </c>
      <c r="I150" s="20">
        <f>189000-17000</f>
        <v>172000</v>
      </c>
      <c r="J150" s="19">
        <f t="shared" ref="J150" si="277">M150+P150</f>
        <v>0</v>
      </c>
      <c r="K150" s="20">
        <f>8000-8000</f>
        <v>0</v>
      </c>
      <c r="L150" s="20"/>
      <c r="M150" s="20"/>
      <c r="N150" s="20"/>
      <c r="O150" s="20"/>
      <c r="P150" s="20"/>
      <c r="Q150" s="19">
        <f t="shared" ref="Q150" si="278">E150+J150</f>
        <v>640405</v>
      </c>
    </row>
    <row r="151" spans="1:17" ht="15.75" x14ac:dyDescent="0.2">
      <c r="A151" s="16" t="s">
        <v>248</v>
      </c>
      <c r="B151" s="16">
        <v>1152</v>
      </c>
      <c r="C151" s="47" t="s">
        <v>76</v>
      </c>
      <c r="D151" s="18" t="s">
        <v>247</v>
      </c>
      <c r="E151" s="19">
        <f t="shared" si="271"/>
        <v>1234800</v>
      </c>
      <c r="F151" s="20">
        <v>1234800</v>
      </c>
      <c r="G151" s="20">
        <v>1029000</v>
      </c>
      <c r="H151" s="20"/>
      <c r="I151" s="20"/>
      <c r="J151" s="19">
        <f t="shared" si="273"/>
        <v>0</v>
      </c>
      <c r="K151" s="20"/>
      <c r="L151" s="20"/>
      <c r="M151" s="20"/>
      <c r="N151" s="20"/>
      <c r="O151" s="20"/>
      <c r="P151" s="20"/>
      <c r="Q151" s="19">
        <f t="shared" si="275"/>
        <v>1234800</v>
      </c>
    </row>
    <row r="152" spans="1:17" ht="47.25" hidden="1" x14ac:dyDescent="0.2">
      <c r="A152" s="16" t="s">
        <v>265</v>
      </c>
      <c r="B152" s="16">
        <v>1153</v>
      </c>
      <c r="C152" s="47" t="s">
        <v>76</v>
      </c>
      <c r="D152" s="18" t="s">
        <v>266</v>
      </c>
      <c r="E152" s="19">
        <f t="shared" ref="E152:E163" si="279">F152+I152</f>
        <v>0</v>
      </c>
      <c r="F152" s="20">
        <f>111356.93-111356.93</f>
        <v>0</v>
      </c>
      <c r="G152" s="20">
        <f>92372.34-92372.34</f>
        <v>0</v>
      </c>
      <c r="H152" s="20"/>
      <c r="I152" s="20"/>
      <c r="J152" s="19">
        <f t="shared" ref="J152:J160" si="280">M152+P152</f>
        <v>0</v>
      </c>
      <c r="K152" s="20"/>
      <c r="L152" s="20"/>
      <c r="M152" s="20"/>
      <c r="N152" s="20"/>
      <c r="O152" s="20"/>
      <c r="P152" s="20"/>
      <c r="Q152" s="19">
        <f t="shared" ref="Q152:Q163" si="281">E152+J152</f>
        <v>0</v>
      </c>
    </row>
    <row r="153" spans="1:17" ht="47.25" hidden="1" x14ac:dyDescent="0.2">
      <c r="A153" s="16" t="s">
        <v>290</v>
      </c>
      <c r="B153" s="16">
        <v>1154</v>
      </c>
      <c r="C153" s="47" t="s">
        <v>76</v>
      </c>
      <c r="D153" s="18" t="s">
        <v>369</v>
      </c>
      <c r="E153" s="19">
        <f t="shared" ref="E153" si="282">F153+I153</f>
        <v>0</v>
      </c>
      <c r="F153" s="20"/>
      <c r="G153" s="20"/>
      <c r="H153" s="20"/>
      <c r="I153" s="20"/>
      <c r="J153" s="19">
        <f t="shared" ref="J153" si="283">M153+P153</f>
        <v>0</v>
      </c>
      <c r="K153" s="20"/>
      <c r="L153" s="20"/>
      <c r="M153" s="20"/>
      <c r="N153" s="20"/>
      <c r="O153" s="20"/>
      <c r="P153" s="20"/>
      <c r="Q153" s="19">
        <f t="shared" ref="Q153" si="284">E153+J153</f>
        <v>0</v>
      </c>
    </row>
    <row r="154" spans="1:17" ht="17.25" customHeight="1" x14ac:dyDescent="0.2">
      <c r="A154" s="43" t="s">
        <v>272</v>
      </c>
      <c r="B154" s="11">
        <v>1160</v>
      </c>
      <c r="C154" s="43" t="s">
        <v>76</v>
      </c>
      <c r="D154" s="13" t="s">
        <v>273</v>
      </c>
      <c r="E154" s="14">
        <f t="shared" si="279"/>
        <v>696350</v>
      </c>
      <c r="F154" s="15">
        <f>640050+56300</f>
        <v>696350</v>
      </c>
      <c r="G154" s="15">
        <f>512800+46600</f>
        <v>559400</v>
      </c>
      <c r="H154" s="15"/>
      <c r="I154" s="15"/>
      <c r="J154" s="14">
        <f t="shared" si="280"/>
        <v>0</v>
      </c>
      <c r="K154" s="15"/>
      <c r="L154" s="15"/>
      <c r="M154" s="15"/>
      <c r="N154" s="15"/>
      <c r="O154" s="15"/>
      <c r="P154" s="15"/>
      <c r="Q154" s="14">
        <f t="shared" si="281"/>
        <v>696350</v>
      </c>
    </row>
    <row r="155" spans="1:17" ht="20.25" hidden="1" customHeight="1" x14ac:dyDescent="0.2">
      <c r="A155" s="11" t="s">
        <v>305</v>
      </c>
      <c r="B155" s="11" t="s">
        <v>114</v>
      </c>
      <c r="C155" s="12" t="s">
        <v>114</v>
      </c>
      <c r="D155" s="13" t="s">
        <v>306</v>
      </c>
      <c r="E155" s="14">
        <f t="shared" ref="E155:E157" si="285">F155+I155</f>
        <v>0</v>
      </c>
      <c r="F155" s="15">
        <f>F156+F157</f>
        <v>0</v>
      </c>
      <c r="G155" s="15">
        <f t="shared" ref="G155:I155" si="286">G156+G157</f>
        <v>0</v>
      </c>
      <c r="H155" s="15">
        <f t="shared" si="286"/>
        <v>0</v>
      </c>
      <c r="I155" s="15">
        <f t="shared" si="286"/>
        <v>0</v>
      </c>
      <c r="J155" s="14">
        <f t="shared" ref="J155:J157" si="287">M155+P155</f>
        <v>0</v>
      </c>
      <c r="K155" s="15">
        <f t="shared" ref="K155:P155" si="288">K156+K157</f>
        <v>0</v>
      </c>
      <c r="L155" s="15">
        <f t="shared" si="288"/>
        <v>0</v>
      </c>
      <c r="M155" s="15">
        <f t="shared" si="288"/>
        <v>0</v>
      </c>
      <c r="N155" s="15">
        <f t="shared" si="288"/>
        <v>0</v>
      </c>
      <c r="O155" s="15">
        <f t="shared" si="288"/>
        <v>0</v>
      </c>
      <c r="P155" s="15">
        <f t="shared" si="288"/>
        <v>0</v>
      </c>
      <c r="Q155" s="14">
        <f t="shared" ref="Q155:Q157" si="289">E155+J155</f>
        <v>0</v>
      </c>
    </row>
    <row r="156" spans="1:17" ht="31.5" hidden="1" x14ac:dyDescent="0.2">
      <c r="A156" s="16" t="s">
        <v>307</v>
      </c>
      <c r="B156" s="16">
        <v>1171</v>
      </c>
      <c r="C156" s="47" t="s">
        <v>76</v>
      </c>
      <c r="D156" s="18" t="s">
        <v>308</v>
      </c>
      <c r="E156" s="19">
        <f t="shared" si="285"/>
        <v>0</v>
      </c>
      <c r="F156" s="20"/>
      <c r="G156" s="20"/>
      <c r="H156" s="20"/>
      <c r="I156" s="20"/>
      <c r="J156" s="19">
        <f t="shared" si="287"/>
        <v>0</v>
      </c>
      <c r="K156" s="20"/>
      <c r="L156" s="20"/>
      <c r="M156" s="20"/>
      <c r="N156" s="20"/>
      <c r="O156" s="20"/>
      <c r="P156" s="20"/>
      <c r="Q156" s="19">
        <f t="shared" si="289"/>
        <v>0</v>
      </c>
    </row>
    <row r="157" spans="1:17" ht="31.5" hidden="1" x14ac:dyDescent="0.2">
      <c r="A157" s="16" t="s">
        <v>309</v>
      </c>
      <c r="B157" s="16">
        <v>1172</v>
      </c>
      <c r="C157" s="47" t="s">
        <v>76</v>
      </c>
      <c r="D157" s="18" t="s">
        <v>310</v>
      </c>
      <c r="E157" s="19">
        <f t="shared" si="285"/>
        <v>0</v>
      </c>
      <c r="F157" s="20"/>
      <c r="G157" s="20"/>
      <c r="H157" s="20"/>
      <c r="I157" s="20"/>
      <c r="J157" s="19">
        <f t="shared" si="287"/>
        <v>0</v>
      </c>
      <c r="K157" s="20"/>
      <c r="L157" s="20"/>
      <c r="M157" s="20"/>
      <c r="N157" s="20"/>
      <c r="O157" s="20"/>
      <c r="P157" s="20"/>
      <c r="Q157" s="19">
        <f t="shared" si="289"/>
        <v>0</v>
      </c>
    </row>
    <row r="158" spans="1:17" ht="38.25" customHeight="1" x14ac:dyDescent="0.2">
      <c r="A158" s="11" t="s">
        <v>295</v>
      </c>
      <c r="B158" s="11" t="s">
        <v>114</v>
      </c>
      <c r="C158" s="12" t="s">
        <v>114</v>
      </c>
      <c r="D158" s="13" t="s">
        <v>384</v>
      </c>
      <c r="E158" s="14">
        <f t="shared" si="279"/>
        <v>0</v>
      </c>
      <c r="F158" s="15">
        <f>F159+F160+F161+F162</f>
        <v>0</v>
      </c>
      <c r="G158" s="15">
        <f t="shared" ref="G158:I158" si="290">G159+G160+G161+G162</f>
        <v>0</v>
      </c>
      <c r="H158" s="15">
        <f t="shared" si="290"/>
        <v>0</v>
      </c>
      <c r="I158" s="15">
        <f t="shared" si="290"/>
        <v>0</v>
      </c>
      <c r="J158" s="14">
        <f t="shared" si="280"/>
        <v>982750</v>
      </c>
      <c r="K158" s="15">
        <f t="shared" ref="K158:P158" si="291">K159+K160+K161+K162</f>
        <v>982750</v>
      </c>
      <c r="L158" s="15">
        <f t="shared" si="291"/>
        <v>982750</v>
      </c>
      <c r="M158" s="15">
        <f t="shared" si="291"/>
        <v>982750</v>
      </c>
      <c r="N158" s="15">
        <f t="shared" si="291"/>
        <v>0</v>
      </c>
      <c r="O158" s="15">
        <f t="shared" si="291"/>
        <v>0</v>
      </c>
      <c r="P158" s="15">
        <f t="shared" si="291"/>
        <v>0</v>
      </c>
      <c r="Q158" s="14">
        <f t="shared" si="281"/>
        <v>982750</v>
      </c>
    </row>
    <row r="159" spans="1:17" ht="31.5" hidden="1" x14ac:dyDescent="0.2">
      <c r="A159" s="16" t="s">
        <v>296</v>
      </c>
      <c r="B159" s="16">
        <v>1181</v>
      </c>
      <c r="C159" s="47" t="s">
        <v>76</v>
      </c>
      <c r="D159" s="18" t="s">
        <v>297</v>
      </c>
      <c r="E159" s="19">
        <f t="shared" si="279"/>
        <v>0</v>
      </c>
      <c r="F159" s="20"/>
      <c r="G159" s="20"/>
      <c r="H159" s="20"/>
      <c r="I159" s="20"/>
      <c r="J159" s="19">
        <f t="shared" si="280"/>
        <v>0</v>
      </c>
      <c r="K159" s="20"/>
      <c r="L159" s="20"/>
      <c r="M159" s="20"/>
      <c r="N159" s="20"/>
      <c r="O159" s="20"/>
      <c r="P159" s="20"/>
      <c r="Q159" s="19">
        <f t="shared" si="281"/>
        <v>0</v>
      </c>
    </row>
    <row r="160" spans="1:17" ht="48.75" hidden="1" customHeight="1" x14ac:dyDescent="0.2">
      <c r="A160" s="16" t="s">
        <v>298</v>
      </c>
      <c r="B160" s="16">
        <v>1182</v>
      </c>
      <c r="C160" s="47" t="s">
        <v>76</v>
      </c>
      <c r="D160" s="18" t="s">
        <v>299</v>
      </c>
      <c r="E160" s="19">
        <f t="shared" si="279"/>
        <v>0</v>
      </c>
      <c r="F160" s="20"/>
      <c r="G160" s="20"/>
      <c r="H160" s="20"/>
      <c r="I160" s="20"/>
      <c r="J160" s="19">
        <f t="shared" si="280"/>
        <v>0</v>
      </c>
      <c r="K160" s="20"/>
      <c r="L160" s="20"/>
      <c r="M160" s="20"/>
      <c r="N160" s="20"/>
      <c r="O160" s="20"/>
      <c r="P160" s="20"/>
      <c r="Q160" s="19">
        <f t="shared" si="281"/>
        <v>0</v>
      </c>
    </row>
    <row r="161" spans="1:17" ht="48.75" customHeight="1" x14ac:dyDescent="0.2">
      <c r="A161" s="16" t="s">
        <v>400</v>
      </c>
      <c r="B161" s="16">
        <v>1183</v>
      </c>
      <c r="C161" s="47" t="s">
        <v>76</v>
      </c>
      <c r="D161" s="20" t="s">
        <v>402</v>
      </c>
      <c r="E161" s="19">
        <f t="shared" ref="E161:E162" si="292">F161+I161</f>
        <v>0</v>
      </c>
      <c r="F161" s="20"/>
      <c r="G161" s="20"/>
      <c r="H161" s="20"/>
      <c r="I161" s="20"/>
      <c r="J161" s="19">
        <f t="shared" ref="J161:J162" si="293">M161+P161</f>
        <v>196550</v>
      </c>
      <c r="K161" s="20">
        <v>196550</v>
      </c>
      <c r="L161" s="20">
        <v>196550</v>
      </c>
      <c r="M161" s="20">
        <v>196550</v>
      </c>
      <c r="N161" s="20"/>
      <c r="O161" s="20"/>
      <c r="P161" s="20"/>
      <c r="Q161" s="19">
        <f t="shared" ref="Q161:Q162" si="294">E161+J161</f>
        <v>196550</v>
      </c>
    </row>
    <row r="162" spans="1:17" ht="48.75" customHeight="1" x14ac:dyDescent="0.2">
      <c r="A162" s="16" t="s">
        <v>401</v>
      </c>
      <c r="B162" s="16">
        <v>1184</v>
      </c>
      <c r="C162" s="47" t="s">
        <v>76</v>
      </c>
      <c r="D162" s="20" t="s">
        <v>448</v>
      </c>
      <c r="E162" s="19">
        <f t="shared" si="292"/>
        <v>0</v>
      </c>
      <c r="F162" s="20"/>
      <c r="G162" s="20"/>
      <c r="H162" s="20"/>
      <c r="I162" s="20"/>
      <c r="J162" s="19">
        <f t="shared" si="293"/>
        <v>786200</v>
      </c>
      <c r="K162" s="20">
        <v>786200</v>
      </c>
      <c r="L162" s="20">
        <v>786200</v>
      </c>
      <c r="M162" s="20">
        <v>786200</v>
      </c>
      <c r="N162" s="20"/>
      <c r="O162" s="20"/>
      <c r="P162" s="20"/>
      <c r="Q162" s="19">
        <f t="shared" si="294"/>
        <v>786200</v>
      </c>
    </row>
    <row r="163" spans="1:17" ht="51" customHeight="1" x14ac:dyDescent="0.2">
      <c r="A163" s="11" t="s">
        <v>279</v>
      </c>
      <c r="B163" s="11">
        <v>1200</v>
      </c>
      <c r="C163" s="43" t="s">
        <v>76</v>
      </c>
      <c r="D163" s="13" t="s">
        <v>388</v>
      </c>
      <c r="E163" s="14">
        <f t="shared" si="279"/>
        <v>299800</v>
      </c>
      <c r="F163" s="15">
        <v>299800</v>
      </c>
      <c r="G163" s="15">
        <v>245750</v>
      </c>
      <c r="H163" s="15"/>
      <c r="I163" s="15"/>
      <c r="J163" s="14">
        <f>M163+P163</f>
        <v>0</v>
      </c>
      <c r="K163" s="15"/>
      <c r="L163" s="15"/>
      <c r="M163" s="15"/>
      <c r="N163" s="15"/>
      <c r="O163" s="15"/>
      <c r="P163" s="15"/>
      <c r="Q163" s="14">
        <f t="shared" si="281"/>
        <v>299800</v>
      </c>
    </row>
    <row r="164" spans="1:17" ht="47.25" hidden="1" customHeight="1" x14ac:dyDescent="0.2">
      <c r="A164" s="11" t="s">
        <v>267</v>
      </c>
      <c r="B164" s="11">
        <v>1210</v>
      </c>
      <c r="C164" s="43" t="s">
        <v>76</v>
      </c>
      <c r="D164" s="13" t="s">
        <v>389</v>
      </c>
      <c r="E164" s="14">
        <f t="shared" ref="E164:E167" si="295">F164+I164</f>
        <v>0</v>
      </c>
      <c r="F164" s="15"/>
      <c r="G164" s="15"/>
      <c r="H164" s="15"/>
      <c r="I164" s="15"/>
      <c r="J164" s="14">
        <f t="shared" ref="J164:J166" si="296">M164+P164</f>
        <v>0</v>
      </c>
      <c r="K164" s="15"/>
      <c r="L164" s="15"/>
      <c r="M164" s="15"/>
      <c r="N164" s="15"/>
      <c r="O164" s="15"/>
      <c r="P164" s="15"/>
      <c r="Q164" s="14">
        <f t="shared" ref="Q164:Q167" si="297">E164+J164</f>
        <v>0</v>
      </c>
    </row>
    <row r="165" spans="1:17" ht="33" hidden="1" customHeight="1" x14ac:dyDescent="0.2">
      <c r="A165" s="11" t="s">
        <v>365</v>
      </c>
      <c r="B165" s="11" t="s">
        <v>114</v>
      </c>
      <c r="C165" s="12" t="s">
        <v>114</v>
      </c>
      <c r="D165" s="13" t="s">
        <v>366</v>
      </c>
      <c r="E165" s="14">
        <f t="shared" si="295"/>
        <v>0</v>
      </c>
      <c r="F165" s="15">
        <f>F166+F167</f>
        <v>0</v>
      </c>
      <c r="G165" s="15">
        <f t="shared" ref="G165:I165" si="298">G166+G167</f>
        <v>0</v>
      </c>
      <c r="H165" s="15">
        <f t="shared" si="298"/>
        <v>0</v>
      </c>
      <c r="I165" s="15">
        <f t="shared" si="298"/>
        <v>0</v>
      </c>
      <c r="J165" s="14">
        <f t="shared" si="296"/>
        <v>0</v>
      </c>
      <c r="K165" s="15">
        <f>K166+K167</f>
        <v>0</v>
      </c>
      <c r="L165" s="15">
        <f t="shared" ref="L165:P165" si="299">L166+L167</f>
        <v>0</v>
      </c>
      <c r="M165" s="15">
        <f t="shared" si="299"/>
        <v>0</v>
      </c>
      <c r="N165" s="15">
        <f t="shared" si="299"/>
        <v>0</v>
      </c>
      <c r="O165" s="15">
        <f t="shared" si="299"/>
        <v>0</v>
      </c>
      <c r="P165" s="15">
        <f t="shared" si="299"/>
        <v>0</v>
      </c>
      <c r="Q165" s="14">
        <f t="shared" si="297"/>
        <v>0</v>
      </c>
    </row>
    <row r="166" spans="1:17" ht="69" hidden="1" customHeight="1" x14ac:dyDescent="0.2">
      <c r="A166" s="16" t="s">
        <v>367</v>
      </c>
      <c r="B166" s="16">
        <v>1241</v>
      </c>
      <c r="C166" s="47" t="s">
        <v>76</v>
      </c>
      <c r="D166" s="18" t="s">
        <v>390</v>
      </c>
      <c r="E166" s="19">
        <f t="shared" si="295"/>
        <v>0</v>
      </c>
      <c r="F166" s="20"/>
      <c r="G166" s="20"/>
      <c r="H166" s="20"/>
      <c r="I166" s="20"/>
      <c r="J166" s="14">
        <f t="shared" si="296"/>
        <v>0</v>
      </c>
      <c r="K166" s="20"/>
      <c r="L166" s="20"/>
      <c r="M166" s="20"/>
      <c r="N166" s="20"/>
      <c r="O166" s="20"/>
      <c r="P166" s="20"/>
      <c r="Q166" s="19">
        <f t="shared" si="297"/>
        <v>0</v>
      </c>
    </row>
    <row r="167" spans="1:17" ht="69" hidden="1" customHeight="1" x14ac:dyDescent="0.2">
      <c r="A167" s="16" t="s">
        <v>368</v>
      </c>
      <c r="B167" s="16">
        <v>1242</v>
      </c>
      <c r="C167" s="47" t="s">
        <v>76</v>
      </c>
      <c r="D167" s="18" t="s">
        <v>391</v>
      </c>
      <c r="E167" s="19">
        <f t="shared" si="295"/>
        <v>0</v>
      </c>
      <c r="F167" s="20"/>
      <c r="G167" s="20"/>
      <c r="H167" s="20"/>
      <c r="I167" s="20"/>
      <c r="J167" s="14">
        <f>M167+P167</f>
        <v>0</v>
      </c>
      <c r="K167" s="20"/>
      <c r="L167" s="20"/>
      <c r="M167" s="20"/>
      <c r="N167" s="20"/>
      <c r="O167" s="20"/>
      <c r="P167" s="20"/>
      <c r="Q167" s="19">
        <f t="shared" si="297"/>
        <v>0</v>
      </c>
    </row>
    <row r="168" spans="1:17" ht="33" hidden="1" customHeight="1" x14ac:dyDescent="0.2">
      <c r="A168" s="11" t="s">
        <v>343</v>
      </c>
      <c r="B168" s="11" t="s">
        <v>114</v>
      </c>
      <c r="C168" s="12" t="s">
        <v>114</v>
      </c>
      <c r="D168" s="13" t="s">
        <v>344</v>
      </c>
      <c r="E168" s="14">
        <f t="shared" ref="E168:E170" si="300">F168+I168</f>
        <v>0</v>
      </c>
      <c r="F168" s="15">
        <f>F169+F170</f>
        <v>0</v>
      </c>
      <c r="G168" s="15">
        <f t="shared" ref="G168:I168" si="301">G169+G170</f>
        <v>0</v>
      </c>
      <c r="H168" s="15">
        <f t="shared" si="301"/>
        <v>0</v>
      </c>
      <c r="I168" s="15">
        <f t="shared" si="301"/>
        <v>0</v>
      </c>
      <c r="J168" s="14">
        <f t="shared" ref="J168:J170" si="302">M168+P168</f>
        <v>0</v>
      </c>
      <c r="K168" s="15">
        <f>K169+K170</f>
        <v>0</v>
      </c>
      <c r="L168" s="15">
        <f t="shared" ref="L168:P168" si="303">L169+L170</f>
        <v>0</v>
      </c>
      <c r="M168" s="15">
        <f t="shared" si="303"/>
        <v>0</v>
      </c>
      <c r="N168" s="15">
        <f t="shared" si="303"/>
        <v>0</v>
      </c>
      <c r="O168" s="15">
        <f t="shared" si="303"/>
        <v>0</v>
      </c>
      <c r="P168" s="15">
        <f t="shared" si="303"/>
        <v>0</v>
      </c>
      <c r="Q168" s="14">
        <f t="shared" ref="Q168:Q170" si="304">E168+J168</f>
        <v>0</v>
      </c>
    </row>
    <row r="169" spans="1:17" s="55" customFormat="1" ht="33" hidden="1" customHeight="1" x14ac:dyDescent="0.2">
      <c r="A169" s="16" t="s">
        <v>345</v>
      </c>
      <c r="B169" s="16">
        <v>1261</v>
      </c>
      <c r="C169" s="47" t="s">
        <v>76</v>
      </c>
      <c r="D169" s="18" t="s">
        <v>347</v>
      </c>
      <c r="E169" s="19">
        <f t="shared" si="300"/>
        <v>0</v>
      </c>
      <c r="F169" s="20"/>
      <c r="G169" s="20"/>
      <c r="H169" s="20"/>
      <c r="I169" s="20"/>
      <c r="J169" s="14">
        <f t="shared" si="302"/>
        <v>0</v>
      </c>
      <c r="K169" s="20"/>
      <c r="L169" s="20"/>
      <c r="M169" s="20"/>
      <c r="N169" s="20"/>
      <c r="O169" s="20"/>
      <c r="P169" s="20"/>
      <c r="Q169" s="19">
        <f t="shared" si="304"/>
        <v>0</v>
      </c>
    </row>
    <row r="170" spans="1:17" s="55" customFormat="1" ht="33" hidden="1" customHeight="1" x14ac:dyDescent="0.2">
      <c r="A170" s="16" t="s">
        <v>346</v>
      </c>
      <c r="B170" s="16">
        <v>1262</v>
      </c>
      <c r="C170" s="47" t="s">
        <v>76</v>
      </c>
      <c r="D170" s="18" t="s">
        <v>348</v>
      </c>
      <c r="E170" s="19">
        <f t="shared" si="300"/>
        <v>0</v>
      </c>
      <c r="F170" s="20"/>
      <c r="G170" s="20"/>
      <c r="H170" s="20"/>
      <c r="I170" s="20"/>
      <c r="J170" s="14">
        <f t="shared" si="302"/>
        <v>0</v>
      </c>
      <c r="K170" s="20"/>
      <c r="L170" s="20"/>
      <c r="M170" s="20"/>
      <c r="N170" s="20"/>
      <c r="O170" s="20"/>
      <c r="P170" s="20"/>
      <c r="Q170" s="19">
        <f t="shared" si="304"/>
        <v>0</v>
      </c>
    </row>
    <row r="171" spans="1:17" s="55" customFormat="1" ht="33" customHeight="1" x14ac:dyDescent="0.2">
      <c r="A171" s="11" t="s">
        <v>352</v>
      </c>
      <c r="B171" s="11" t="s">
        <v>114</v>
      </c>
      <c r="C171" s="12" t="s">
        <v>114</v>
      </c>
      <c r="D171" s="13" t="s">
        <v>353</v>
      </c>
      <c r="E171" s="14">
        <f t="shared" ref="E171:E173" si="305">F171+I171</f>
        <v>0</v>
      </c>
      <c r="F171" s="15">
        <f>F172+F173+F174+F175</f>
        <v>0</v>
      </c>
      <c r="G171" s="15">
        <f t="shared" ref="G171:I171" si="306">G172+G173+G174+G175</f>
        <v>0</v>
      </c>
      <c r="H171" s="15">
        <f t="shared" si="306"/>
        <v>0</v>
      </c>
      <c r="I171" s="15">
        <f t="shared" si="306"/>
        <v>0</v>
      </c>
      <c r="J171" s="14">
        <f t="shared" ref="J171:J173" si="307">M171+P171</f>
        <v>0</v>
      </c>
      <c r="K171" s="15">
        <f t="shared" ref="K171:P171" si="308">K172+K173+K174+K175</f>
        <v>0</v>
      </c>
      <c r="L171" s="15">
        <f t="shared" si="308"/>
        <v>0</v>
      </c>
      <c r="M171" s="15">
        <f t="shared" si="308"/>
        <v>0</v>
      </c>
      <c r="N171" s="15">
        <f t="shared" si="308"/>
        <v>0</v>
      </c>
      <c r="O171" s="15">
        <f t="shared" si="308"/>
        <v>0</v>
      </c>
      <c r="P171" s="15">
        <f t="shared" si="308"/>
        <v>0</v>
      </c>
      <c r="Q171" s="14">
        <f t="shared" ref="Q171:Q173" si="309">E171+J171</f>
        <v>0</v>
      </c>
    </row>
    <row r="172" spans="1:17" s="55" customFormat="1" ht="36" hidden="1" customHeight="1" x14ac:dyDescent="0.2">
      <c r="A172" s="16" t="s">
        <v>354</v>
      </c>
      <c r="B172" s="16">
        <v>1271</v>
      </c>
      <c r="C172" s="47" t="s">
        <v>76</v>
      </c>
      <c r="D172" s="18" t="s">
        <v>355</v>
      </c>
      <c r="E172" s="19">
        <f t="shared" si="305"/>
        <v>0</v>
      </c>
      <c r="F172" s="20"/>
      <c r="G172" s="20"/>
      <c r="H172" s="20"/>
      <c r="I172" s="20"/>
      <c r="J172" s="19">
        <f t="shared" si="307"/>
        <v>0</v>
      </c>
      <c r="K172" s="20"/>
      <c r="L172" s="20"/>
      <c r="M172" s="20"/>
      <c r="N172" s="20"/>
      <c r="O172" s="20"/>
      <c r="P172" s="20"/>
      <c r="Q172" s="19">
        <f t="shared" si="309"/>
        <v>0</v>
      </c>
    </row>
    <row r="173" spans="1:17" s="55" customFormat="1" ht="33" hidden="1" customHeight="1" x14ac:dyDescent="0.2">
      <c r="A173" s="16" t="s">
        <v>356</v>
      </c>
      <c r="B173" s="16">
        <v>1272</v>
      </c>
      <c r="C173" s="47" t="s">
        <v>76</v>
      </c>
      <c r="D173" s="18" t="s">
        <v>357</v>
      </c>
      <c r="E173" s="19">
        <f t="shared" si="305"/>
        <v>0</v>
      </c>
      <c r="F173" s="20"/>
      <c r="G173" s="20"/>
      <c r="H173" s="20"/>
      <c r="I173" s="20"/>
      <c r="J173" s="19">
        <f t="shared" si="307"/>
        <v>0</v>
      </c>
      <c r="K173" s="20"/>
      <c r="L173" s="20"/>
      <c r="M173" s="20">
        <f>2208200-2208200</f>
        <v>0</v>
      </c>
      <c r="N173" s="20"/>
      <c r="O173" s="20"/>
      <c r="P173" s="20">
        <f>2208200-2208200</f>
        <v>0</v>
      </c>
      <c r="Q173" s="19">
        <f t="shared" si="309"/>
        <v>0</v>
      </c>
    </row>
    <row r="174" spans="1:17" s="55" customFormat="1" ht="58.5" customHeight="1" x14ac:dyDescent="0.2">
      <c r="A174" s="16" t="s">
        <v>409</v>
      </c>
      <c r="B174" s="16">
        <v>1274</v>
      </c>
      <c r="C174" s="47" t="s">
        <v>76</v>
      </c>
      <c r="D174" s="18" t="s">
        <v>408</v>
      </c>
      <c r="E174" s="19">
        <f t="shared" ref="E174:E175" si="310">F174+I174</f>
        <v>0</v>
      </c>
      <c r="F174" s="20"/>
      <c r="G174" s="20"/>
      <c r="H174" s="20"/>
      <c r="I174" s="20"/>
      <c r="J174" s="19">
        <f t="shared" ref="J174:J175" si="311">M174+P174</f>
        <v>0</v>
      </c>
      <c r="K174" s="20"/>
      <c r="L174" s="20"/>
      <c r="M174" s="20"/>
      <c r="N174" s="20"/>
      <c r="O174" s="20"/>
      <c r="P174" s="20"/>
      <c r="Q174" s="19">
        <f t="shared" ref="Q174:Q175" si="312">E174+J174</f>
        <v>0</v>
      </c>
    </row>
    <row r="175" spans="1:17" s="55" customFormat="1" ht="40.5" customHeight="1" x14ac:dyDescent="0.2">
      <c r="A175" s="16" t="s">
        <v>417</v>
      </c>
      <c r="B175" s="16">
        <v>1279</v>
      </c>
      <c r="C175" s="47" t="s">
        <v>76</v>
      </c>
      <c r="D175" s="18" t="s">
        <v>418</v>
      </c>
      <c r="E175" s="19">
        <f t="shared" si="310"/>
        <v>0</v>
      </c>
      <c r="F175" s="20"/>
      <c r="G175" s="20"/>
      <c r="H175" s="20"/>
      <c r="I175" s="20"/>
      <c r="J175" s="19">
        <f t="shared" si="311"/>
        <v>0</v>
      </c>
      <c r="K175" s="20"/>
      <c r="L175" s="20"/>
      <c r="M175" s="20"/>
      <c r="N175" s="20"/>
      <c r="O175" s="20"/>
      <c r="P175" s="20"/>
      <c r="Q175" s="19">
        <f t="shared" si="312"/>
        <v>0</v>
      </c>
    </row>
    <row r="176" spans="1:17" s="55" customFormat="1" ht="51.75" customHeight="1" x14ac:dyDescent="0.2">
      <c r="A176" s="11" t="s">
        <v>361</v>
      </c>
      <c r="B176" s="11" t="s">
        <v>114</v>
      </c>
      <c r="C176" s="12" t="s">
        <v>114</v>
      </c>
      <c r="D176" s="13" t="s">
        <v>449</v>
      </c>
      <c r="E176" s="14">
        <f t="shared" ref="E176:E177" si="313">F176+I176</f>
        <v>0</v>
      </c>
      <c r="F176" s="15">
        <f>F177+F178</f>
        <v>0</v>
      </c>
      <c r="G176" s="15">
        <f t="shared" ref="G176:I176" si="314">G177+G178</f>
        <v>0</v>
      </c>
      <c r="H176" s="15">
        <f t="shared" si="314"/>
        <v>0</v>
      </c>
      <c r="I176" s="15">
        <f t="shared" si="314"/>
        <v>0</v>
      </c>
      <c r="J176" s="14">
        <f t="shared" ref="J176:J177" si="315">M176+P176</f>
        <v>0</v>
      </c>
      <c r="K176" s="15">
        <f t="shared" ref="K176:P176" si="316">K177+K178</f>
        <v>0</v>
      </c>
      <c r="L176" s="15">
        <f t="shared" si="316"/>
        <v>0</v>
      </c>
      <c r="M176" s="15">
        <f t="shared" si="316"/>
        <v>0</v>
      </c>
      <c r="N176" s="15">
        <f t="shared" si="316"/>
        <v>0</v>
      </c>
      <c r="O176" s="15">
        <f t="shared" si="316"/>
        <v>0</v>
      </c>
      <c r="P176" s="15">
        <f t="shared" si="316"/>
        <v>0</v>
      </c>
      <c r="Q176" s="14">
        <f t="shared" ref="Q176:Q177" si="317">E176+J176</f>
        <v>0</v>
      </c>
    </row>
    <row r="177" spans="1:17" s="55" customFormat="1" ht="52.5" customHeight="1" x14ac:dyDescent="0.2">
      <c r="A177" s="16" t="s">
        <v>362</v>
      </c>
      <c r="B177" s="16">
        <v>1291</v>
      </c>
      <c r="C177" s="47" t="s">
        <v>76</v>
      </c>
      <c r="D177" s="18" t="s">
        <v>364</v>
      </c>
      <c r="E177" s="19">
        <f t="shared" si="313"/>
        <v>0</v>
      </c>
      <c r="F177" s="20"/>
      <c r="G177" s="20"/>
      <c r="H177" s="20"/>
      <c r="I177" s="20"/>
      <c r="J177" s="14">
        <f t="shared" si="315"/>
        <v>0</v>
      </c>
      <c r="K177" s="20"/>
      <c r="L177" s="20"/>
      <c r="M177" s="20"/>
      <c r="N177" s="20"/>
      <c r="O177" s="20"/>
      <c r="P177" s="20"/>
      <c r="Q177" s="19">
        <f t="shared" si="317"/>
        <v>0</v>
      </c>
    </row>
    <row r="178" spans="1:17" s="55" customFormat="1" ht="51.75" customHeight="1" x14ac:dyDescent="0.2">
      <c r="A178" s="16" t="s">
        <v>363</v>
      </c>
      <c r="B178" s="16">
        <v>1292</v>
      </c>
      <c r="C178" s="47" t="s">
        <v>76</v>
      </c>
      <c r="D178" s="18" t="s">
        <v>385</v>
      </c>
      <c r="E178" s="19">
        <f t="shared" ref="E178:E183" si="318">F178+I178</f>
        <v>0</v>
      </c>
      <c r="F178" s="20"/>
      <c r="G178" s="20"/>
      <c r="H178" s="20"/>
      <c r="I178" s="20"/>
      <c r="J178" s="14">
        <f t="shared" ref="J178:J183" si="319">M178+P178</f>
        <v>0</v>
      </c>
      <c r="K178" s="20"/>
      <c r="L178" s="20"/>
      <c r="M178" s="20"/>
      <c r="N178" s="20"/>
      <c r="O178" s="20"/>
      <c r="P178" s="20"/>
      <c r="Q178" s="19">
        <f t="shared" ref="Q178:Q183" si="320">E178+J178</f>
        <v>0</v>
      </c>
    </row>
    <row r="179" spans="1:17" s="55" customFormat="1" ht="31.5" customHeight="1" x14ac:dyDescent="0.2">
      <c r="A179" s="11" t="s">
        <v>382</v>
      </c>
      <c r="B179" s="11">
        <v>1300</v>
      </c>
      <c r="C179" s="43" t="s">
        <v>76</v>
      </c>
      <c r="D179" s="13" t="s">
        <v>434</v>
      </c>
      <c r="E179" s="14">
        <f t="shared" ref="E179" si="321">F179+I179</f>
        <v>0</v>
      </c>
      <c r="F179" s="15"/>
      <c r="G179" s="15"/>
      <c r="H179" s="15"/>
      <c r="I179" s="10"/>
      <c r="J179" s="14">
        <f t="shared" ref="J179" si="322">M179+P179</f>
        <v>6000000</v>
      </c>
      <c r="K179" s="15">
        <f>6000000</f>
        <v>6000000</v>
      </c>
      <c r="L179" s="15">
        <f>6000000</f>
        <v>6000000</v>
      </c>
      <c r="M179" s="15"/>
      <c r="N179" s="10"/>
      <c r="O179" s="10"/>
      <c r="P179" s="15">
        <f>6000000</f>
        <v>6000000</v>
      </c>
      <c r="Q179" s="14">
        <f t="shared" ref="Q179" si="323">E179+J179</f>
        <v>6000000</v>
      </c>
    </row>
    <row r="180" spans="1:17" s="55" customFormat="1" ht="42.75" customHeight="1" x14ac:dyDescent="0.2">
      <c r="A180" s="11" t="s">
        <v>378</v>
      </c>
      <c r="B180" s="11">
        <v>1403</v>
      </c>
      <c r="C180" s="43" t="s">
        <v>76</v>
      </c>
      <c r="D180" s="13" t="s">
        <v>379</v>
      </c>
      <c r="E180" s="14">
        <f t="shared" si="318"/>
        <v>0</v>
      </c>
      <c r="F180" s="15"/>
      <c r="G180" s="15"/>
      <c r="H180" s="15"/>
      <c r="I180" s="10"/>
      <c r="J180" s="14">
        <f t="shared" si="319"/>
        <v>0</v>
      </c>
      <c r="K180" s="15"/>
      <c r="L180" s="15"/>
      <c r="M180" s="15"/>
      <c r="N180" s="10"/>
      <c r="O180" s="10"/>
      <c r="P180" s="15"/>
      <c r="Q180" s="14">
        <f t="shared" si="320"/>
        <v>0</v>
      </c>
    </row>
    <row r="181" spans="1:17" s="55" customFormat="1" ht="42.75" customHeight="1" x14ac:dyDescent="0.2">
      <c r="A181" s="11" t="s">
        <v>420</v>
      </c>
      <c r="B181" s="11" t="s">
        <v>114</v>
      </c>
      <c r="C181" s="12" t="s">
        <v>114</v>
      </c>
      <c r="D181" s="13" t="s">
        <v>422</v>
      </c>
      <c r="E181" s="14">
        <f t="shared" si="318"/>
        <v>0</v>
      </c>
      <c r="F181" s="15">
        <f>F182</f>
        <v>0</v>
      </c>
      <c r="G181" s="15">
        <f t="shared" ref="G181:I181" si="324">G182</f>
        <v>0</v>
      </c>
      <c r="H181" s="15">
        <f t="shared" si="324"/>
        <v>0</v>
      </c>
      <c r="I181" s="15">
        <f t="shared" si="324"/>
        <v>0</v>
      </c>
      <c r="J181" s="14">
        <f t="shared" si="319"/>
        <v>0</v>
      </c>
      <c r="K181" s="15">
        <f t="shared" ref="K181:P181" si="325">K182</f>
        <v>0</v>
      </c>
      <c r="L181" s="15">
        <f t="shared" si="325"/>
        <v>0</v>
      </c>
      <c r="M181" s="15">
        <f t="shared" si="325"/>
        <v>0</v>
      </c>
      <c r="N181" s="15">
        <f t="shared" si="325"/>
        <v>0</v>
      </c>
      <c r="O181" s="15">
        <f t="shared" si="325"/>
        <v>0</v>
      </c>
      <c r="P181" s="15">
        <f t="shared" si="325"/>
        <v>0</v>
      </c>
      <c r="Q181" s="14">
        <f t="shared" si="320"/>
        <v>0</v>
      </c>
    </row>
    <row r="182" spans="1:17" s="55" customFormat="1" ht="51.75" customHeight="1" x14ac:dyDescent="0.2">
      <c r="A182" s="16" t="s">
        <v>421</v>
      </c>
      <c r="B182" s="16">
        <v>1501</v>
      </c>
      <c r="C182" s="47" t="s">
        <v>76</v>
      </c>
      <c r="D182" s="18" t="s">
        <v>423</v>
      </c>
      <c r="E182" s="19">
        <f t="shared" si="318"/>
        <v>0</v>
      </c>
      <c r="F182" s="20"/>
      <c r="G182" s="20"/>
      <c r="H182" s="20"/>
      <c r="I182" s="20"/>
      <c r="J182" s="19">
        <f t="shared" si="319"/>
        <v>0</v>
      </c>
      <c r="K182" s="20"/>
      <c r="L182" s="20"/>
      <c r="M182" s="20"/>
      <c r="N182" s="20"/>
      <c r="O182" s="20"/>
      <c r="P182" s="20"/>
      <c r="Q182" s="19">
        <f t="shared" si="320"/>
        <v>0</v>
      </c>
    </row>
    <row r="183" spans="1:17" s="55" customFormat="1" ht="42.75" customHeight="1" x14ac:dyDescent="0.2">
      <c r="A183" s="11" t="s">
        <v>398</v>
      </c>
      <c r="B183" s="11">
        <v>1600</v>
      </c>
      <c r="C183" s="43" t="s">
        <v>76</v>
      </c>
      <c r="D183" s="15" t="s">
        <v>399</v>
      </c>
      <c r="E183" s="14">
        <f t="shared" si="318"/>
        <v>4294700</v>
      </c>
      <c r="F183" s="15">
        <v>4294700</v>
      </c>
      <c r="G183" s="15">
        <v>3520300</v>
      </c>
      <c r="H183" s="15"/>
      <c r="I183" s="10"/>
      <c r="J183" s="14">
        <f t="shared" si="319"/>
        <v>0</v>
      </c>
      <c r="K183" s="15"/>
      <c r="L183" s="15"/>
      <c r="M183" s="15"/>
      <c r="N183" s="10"/>
      <c r="O183" s="10"/>
      <c r="P183" s="15"/>
      <c r="Q183" s="14">
        <f t="shared" si="320"/>
        <v>4294700</v>
      </c>
    </row>
    <row r="184" spans="1:17" s="55" customFormat="1" ht="42.75" customHeight="1" x14ac:dyDescent="0.2">
      <c r="A184" s="11" t="s">
        <v>393</v>
      </c>
      <c r="B184" s="11">
        <v>1700</v>
      </c>
      <c r="C184" s="43" t="s">
        <v>76</v>
      </c>
      <c r="D184" s="13" t="s">
        <v>424</v>
      </c>
      <c r="E184" s="14">
        <f t="shared" ref="E184" si="326">F184+I184</f>
        <v>0</v>
      </c>
      <c r="F184" s="15"/>
      <c r="G184" s="15"/>
      <c r="H184" s="15"/>
      <c r="I184" s="10"/>
      <c r="J184" s="14">
        <f t="shared" ref="J184" si="327">M184+P184</f>
        <v>553126.85</v>
      </c>
      <c r="K184" s="15"/>
      <c r="L184" s="15"/>
      <c r="M184" s="15">
        <f>84326.85+228800+240000</f>
        <v>553126.85</v>
      </c>
      <c r="N184" s="10"/>
      <c r="O184" s="10"/>
      <c r="P184" s="15"/>
      <c r="Q184" s="14">
        <f t="shared" ref="Q184" si="328">E184+J184</f>
        <v>553126.85</v>
      </c>
    </row>
    <row r="185" spans="1:17" s="55" customFormat="1" ht="42.75" customHeight="1" x14ac:dyDescent="0.2">
      <c r="A185" s="11" t="s">
        <v>425</v>
      </c>
      <c r="B185" s="11">
        <v>1702</v>
      </c>
      <c r="C185" s="43" t="s">
        <v>76</v>
      </c>
      <c r="D185" s="13" t="s">
        <v>426</v>
      </c>
      <c r="E185" s="14">
        <f t="shared" ref="E185" si="329">F185+I185</f>
        <v>5809600</v>
      </c>
      <c r="F185" s="15">
        <v>5809600</v>
      </c>
      <c r="G185" s="15"/>
      <c r="H185" s="15"/>
      <c r="I185" s="10"/>
      <c r="J185" s="14">
        <f t="shared" ref="J185" si="330">M185+P185</f>
        <v>0</v>
      </c>
      <c r="K185" s="15"/>
      <c r="L185" s="15"/>
      <c r="M185" s="15"/>
      <c r="N185" s="10"/>
      <c r="O185" s="10"/>
      <c r="P185" s="15"/>
      <c r="Q185" s="14">
        <f t="shared" ref="Q185" si="331">E185+J185</f>
        <v>5809600</v>
      </c>
    </row>
    <row r="186" spans="1:17" ht="18.75" customHeight="1" x14ac:dyDescent="0.2">
      <c r="A186" s="6" t="s">
        <v>114</v>
      </c>
      <c r="B186" s="27" t="s">
        <v>130</v>
      </c>
      <c r="C186" s="7" t="s">
        <v>114</v>
      </c>
      <c r="D186" s="8" t="s">
        <v>131</v>
      </c>
      <c r="E186" s="9">
        <f t="shared" ref="E186:E188" si="332">F186+I186</f>
        <v>3303145</v>
      </c>
      <c r="F186" s="10">
        <f>F187+F190</f>
        <v>3303145</v>
      </c>
      <c r="G186" s="10">
        <f t="shared" ref="G186:I186" si="333">G187+G190</f>
        <v>1729800</v>
      </c>
      <c r="H186" s="10">
        <f t="shared" si="333"/>
        <v>636665</v>
      </c>
      <c r="I186" s="10">
        <f t="shared" si="333"/>
        <v>0</v>
      </c>
      <c r="J186" s="9">
        <f t="shared" ref="J186:J188" si="334">M186+P186</f>
        <v>0</v>
      </c>
      <c r="K186" s="10">
        <f t="shared" ref="K186:P186" si="335">K187+K190</f>
        <v>0</v>
      </c>
      <c r="L186" s="10">
        <f t="shared" si="335"/>
        <v>0</v>
      </c>
      <c r="M186" s="10">
        <f t="shared" si="335"/>
        <v>0</v>
      </c>
      <c r="N186" s="10">
        <f t="shared" si="335"/>
        <v>0</v>
      </c>
      <c r="O186" s="10">
        <f t="shared" si="335"/>
        <v>0</v>
      </c>
      <c r="P186" s="10">
        <f t="shared" si="335"/>
        <v>0</v>
      </c>
      <c r="Q186" s="9">
        <f t="shared" ref="Q186:Q187" si="336">E186+J186</f>
        <v>3303145</v>
      </c>
    </row>
    <row r="187" spans="1:17" ht="18.75" hidden="1" customHeight="1" x14ac:dyDescent="0.2">
      <c r="A187" s="11" t="s">
        <v>219</v>
      </c>
      <c r="B187" s="11" t="s">
        <v>114</v>
      </c>
      <c r="C187" s="12" t="s">
        <v>114</v>
      </c>
      <c r="D187" s="13" t="s">
        <v>220</v>
      </c>
      <c r="E187" s="14">
        <f t="shared" si="332"/>
        <v>0</v>
      </c>
      <c r="F187" s="15">
        <f>F188+F189</f>
        <v>0</v>
      </c>
      <c r="G187" s="15">
        <f t="shared" ref="G187:I187" si="337">G188+G189</f>
        <v>0</v>
      </c>
      <c r="H187" s="15">
        <f t="shared" si="337"/>
        <v>0</v>
      </c>
      <c r="I187" s="15">
        <f t="shared" si="337"/>
        <v>0</v>
      </c>
      <c r="J187" s="14">
        <f t="shared" si="334"/>
        <v>0</v>
      </c>
      <c r="K187" s="15">
        <f t="shared" ref="K187:P187" si="338">K188+K189</f>
        <v>0</v>
      </c>
      <c r="L187" s="15">
        <f t="shared" si="338"/>
        <v>0</v>
      </c>
      <c r="M187" s="15">
        <f t="shared" si="338"/>
        <v>0</v>
      </c>
      <c r="N187" s="15">
        <f t="shared" si="338"/>
        <v>0</v>
      </c>
      <c r="O187" s="15">
        <f t="shared" si="338"/>
        <v>0</v>
      </c>
      <c r="P187" s="15">
        <f t="shared" si="338"/>
        <v>0</v>
      </c>
      <c r="Q187" s="14">
        <f t="shared" si="336"/>
        <v>0</v>
      </c>
    </row>
    <row r="188" spans="1:17" ht="20.25" hidden="1" customHeight="1" x14ac:dyDescent="0.2">
      <c r="A188" s="16" t="s">
        <v>78</v>
      </c>
      <c r="B188" s="16" t="s">
        <v>80</v>
      </c>
      <c r="C188" s="17" t="s">
        <v>79</v>
      </c>
      <c r="D188" s="18" t="s">
        <v>81</v>
      </c>
      <c r="E188" s="19">
        <f t="shared" si="332"/>
        <v>0</v>
      </c>
      <c r="F188" s="20"/>
      <c r="G188" s="20"/>
      <c r="H188" s="20"/>
      <c r="I188" s="20"/>
      <c r="J188" s="19">
        <f t="shared" si="334"/>
        <v>0</v>
      </c>
      <c r="K188" s="20"/>
      <c r="L188" s="20"/>
      <c r="M188" s="20"/>
      <c r="N188" s="20"/>
      <c r="O188" s="20"/>
      <c r="P188" s="20"/>
      <c r="Q188" s="19">
        <f t="shared" si="258"/>
        <v>0</v>
      </c>
    </row>
    <row r="189" spans="1:17" ht="20.25" hidden="1" customHeight="1" x14ac:dyDescent="0.2">
      <c r="A189" s="16" t="s">
        <v>82</v>
      </c>
      <c r="B189" s="16" t="s">
        <v>83</v>
      </c>
      <c r="C189" s="17" t="s">
        <v>79</v>
      </c>
      <c r="D189" s="18" t="s">
        <v>84</v>
      </c>
      <c r="E189" s="19">
        <f t="shared" ref="E189:E192" si="339">F189+I189</f>
        <v>0</v>
      </c>
      <c r="F189" s="20"/>
      <c r="G189" s="20"/>
      <c r="H189" s="20"/>
      <c r="I189" s="20"/>
      <c r="J189" s="19">
        <f t="shared" ref="J189:J192" si="340">M189+P189</f>
        <v>0</v>
      </c>
      <c r="K189" s="20"/>
      <c r="L189" s="20"/>
      <c r="M189" s="20"/>
      <c r="N189" s="20"/>
      <c r="O189" s="20"/>
      <c r="P189" s="20"/>
      <c r="Q189" s="19">
        <f t="shared" si="258"/>
        <v>0</v>
      </c>
    </row>
    <row r="190" spans="1:17" ht="20.25" customHeight="1" x14ac:dyDescent="0.2">
      <c r="A190" s="11" t="s">
        <v>221</v>
      </c>
      <c r="B190" s="11" t="s">
        <v>114</v>
      </c>
      <c r="C190" s="12" t="s">
        <v>114</v>
      </c>
      <c r="D190" s="13" t="s">
        <v>222</v>
      </c>
      <c r="E190" s="14">
        <f>F190+I190</f>
        <v>3303145</v>
      </c>
      <c r="F190" s="15">
        <f>F191</f>
        <v>3303145</v>
      </c>
      <c r="G190" s="15">
        <f t="shared" ref="G190:I190" si="341">G191</f>
        <v>1729800</v>
      </c>
      <c r="H190" s="15">
        <f t="shared" si="341"/>
        <v>636665</v>
      </c>
      <c r="I190" s="15">
        <f t="shared" si="341"/>
        <v>0</v>
      </c>
      <c r="J190" s="14">
        <f>M190+P190</f>
        <v>0</v>
      </c>
      <c r="K190" s="15">
        <f t="shared" ref="K190:P190" si="342">K191</f>
        <v>0</v>
      </c>
      <c r="L190" s="15">
        <f t="shared" si="342"/>
        <v>0</v>
      </c>
      <c r="M190" s="15">
        <f t="shared" si="342"/>
        <v>0</v>
      </c>
      <c r="N190" s="15">
        <f t="shared" si="342"/>
        <v>0</v>
      </c>
      <c r="O190" s="15">
        <f t="shared" si="342"/>
        <v>0</v>
      </c>
      <c r="P190" s="15">
        <f t="shared" si="342"/>
        <v>0</v>
      </c>
      <c r="Q190" s="14">
        <f t="shared" si="258"/>
        <v>3303145</v>
      </c>
    </row>
    <row r="191" spans="1:17" ht="30.75" customHeight="1" x14ac:dyDescent="0.2">
      <c r="A191" s="16" t="s">
        <v>85</v>
      </c>
      <c r="B191" s="16" t="s">
        <v>86</v>
      </c>
      <c r="C191" s="17" t="s">
        <v>79</v>
      </c>
      <c r="D191" s="18" t="s">
        <v>392</v>
      </c>
      <c r="E191" s="19">
        <f t="shared" si="339"/>
        <v>3303145</v>
      </c>
      <c r="F191" s="20">
        <f>3068545+174600+60000</f>
        <v>3303145</v>
      </c>
      <c r="G191" s="20">
        <f>1585600+144200</f>
        <v>1729800</v>
      </c>
      <c r="H191" s="20">
        <f>576665+60000</f>
        <v>636665</v>
      </c>
      <c r="I191" s="20"/>
      <c r="J191" s="19">
        <f t="shared" si="340"/>
        <v>0</v>
      </c>
      <c r="K191" s="20"/>
      <c r="L191" s="20"/>
      <c r="M191" s="20"/>
      <c r="N191" s="20"/>
      <c r="O191" s="20"/>
      <c r="P191" s="20"/>
      <c r="Q191" s="19">
        <f t="shared" si="258"/>
        <v>3303145</v>
      </c>
    </row>
    <row r="192" spans="1:17" ht="15.75" hidden="1" x14ac:dyDescent="0.2">
      <c r="A192" s="6" t="s">
        <v>114</v>
      </c>
      <c r="B192" s="27" t="s">
        <v>253</v>
      </c>
      <c r="C192" s="7" t="s">
        <v>114</v>
      </c>
      <c r="D192" s="8" t="s">
        <v>121</v>
      </c>
      <c r="E192" s="9">
        <f t="shared" si="339"/>
        <v>0</v>
      </c>
      <c r="F192" s="10">
        <f>F193</f>
        <v>0</v>
      </c>
      <c r="G192" s="10">
        <f t="shared" ref="G192:I192" si="343">G193</f>
        <v>0</v>
      </c>
      <c r="H192" s="10">
        <f t="shared" si="343"/>
        <v>0</v>
      </c>
      <c r="I192" s="10">
        <f t="shared" si="343"/>
        <v>0</v>
      </c>
      <c r="J192" s="9">
        <f t="shared" si="340"/>
        <v>0</v>
      </c>
      <c r="K192" s="10">
        <f t="shared" ref="K192:P192" si="344">K193</f>
        <v>0</v>
      </c>
      <c r="L192" s="10">
        <f t="shared" si="344"/>
        <v>0</v>
      </c>
      <c r="M192" s="10">
        <f t="shared" si="344"/>
        <v>0</v>
      </c>
      <c r="N192" s="10">
        <f t="shared" si="344"/>
        <v>0</v>
      </c>
      <c r="O192" s="10">
        <f t="shared" si="344"/>
        <v>0</v>
      </c>
      <c r="P192" s="10">
        <f t="shared" si="344"/>
        <v>0</v>
      </c>
      <c r="Q192" s="9">
        <f t="shared" si="258"/>
        <v>0</v>
      </c>
    </row>
    <row r="193" spans="1:17" ht="19.5" hidden="1" customHeight="1" x14ac:dyDescent="0.2">
      <c r="A193" s="11" t="s">
        <v>254</v>
      </c>
      <c r="B193" s="11" t="s">
        <v>114</v>
      </c>
      <c r="C193" s="12" t="s">
        <v>114</v>
      </c>
      <c r="D193" s="13" t="s">
        <v>255</v>
      </c>
      <c r="E193" s="14">
        <f>F193+I193</f>
        <v>0</v>
      </c>
      <c r="F193" s="15">
        <f>F194+F195</f>
        <v>0</v>
      </c>
      <c r="G193" s="15">
        <f t="shared" ref="G193:I193" si="345">G194+G195</f>
        <v>0</v>
      </c>
      <c r="H193" s="15">
        <f t="shared" si="345"/>
        <v>0</v>
      </c>
      <c r="I193" s="15">
        <f t="shared" si="345"/>
        <v>0</v>
      </c>
      <c r="J193" s="14">
        <f>M193+P193</f>
        <v>0</v>
      </c>
      <c r="K193" s="15">
        <f t="shared" ref="K193:P193" si="346">K194+K195</f>
        <v>0</v>
      </c>
      <c r="L193" s="15">
        <f t="shared" si="346"/>
        <v>0</v>
      </c>
      <c r="M193" s="15">
        <f t="shared" si="346"/>
        <v>0</v>
      </c>
      <c r="N193" s="15">
        <f t="shared" si="346"/>
        <v>0</v>
      </c>
      <c r="O193" s="15">
        <f t="shared" si="346"/>
        <v>0</v>
      </c>
      <c r="P193" s="15">
        <f t="shared" si="346"/>
        <v>0</v>
      </c>
      <c r="Q193" s="14">
        <f t="shared" ref="Q193:Q194" si="347">E193+J193</f>
        <v>0</v>
      </c>
    </row>
    <row r="194" spans="1:17" ht="19.5" hidden="1" customHeight="1" x14ac:dyDescent="0.2">
      <c r="A194" s="16" t="s">
        <v>252</v>
      </c>
      <c r="B194" s="16">
        <v>7321</v>
      </c>
      <c r="C194" s="47" t="s">
        <v>141</v>
      </c>
      <c r="D194" s="18" t="s">
        <v>311</v>
      </c>
      <c r="E194" s="19">
        <f t="shared" ref="E194" si="348">F194+I194</f>
        <v>0</v>
      </c>
      <c r="F194" s="20"/>
      <c r="G194" s="20"/>
      <c r="H194" s="20"/>
      <c r="I194" s="20"/>
      <c r="J194" s="19">
        <f t="shared" ref="J194" si="349">M194+P194</f>
        <v>0</v>
      </c>
      <c r="K194" s="20"/>
      <c r="L194" s="20"/>
      <c r="M194" s="20"/>
      <c r="N194" s="20"/>
      <c r="O194" s="20"/>
      <c r="P194" s="20"/>
      <c r="Q194" s="19">
        <f t="shared" si="347"/>
        <v>0</v>
      </c>
    </row>
    <row r="195" spans="1:17" ht="36.75" hidden="1" customHeight="1" x14ac:dyDescent="0.2">
      <c r="A195" s="16" t="s">
        <v>252</v>
      </c>
      <c r="B195" s="16">
        <v>7321</v>
      </c>
      <c r="C195" s="47" t="s">
        <v>141</v>
      </c>
      <c r="D195" s="18" t="s">
        <v>304</v>
      </c>
      <c r="E195" s="19">
        <f t="shared" ref="E195" si="350">F195+I195</f>
        <v>0</v>
      </c>
      <c r="F195" s="20"/>
      <c r="G195" s="20"/>
      <c r="H195" s="20"/>
      <c r="I195" s="20"/>
      <c r="J195" s="19">
        <f t="shared" ref="J195" si="351">M195+P195</f>
        <v>0</v>
      </c>
      <c r="K195" s="20"/>
      <c r="L195" s="20"/>
      <c r="M195" s="20"/>
      <c r="N195" s="20"/>
      <c r="O195" s="20"/>
      <c r="P195" s="20"/>
      <c r="Q195" s="19">
        <f t="shared" ref="Q195" si="352">E195+J195</f>
        <v>0</v>
      </c>
    </row>
    <row r="196" spans="1:17" ht="19.5" customHeight="1" x14ac:dyDescent="0.2">
      <c r="A196" s="35" t="s">
        <v>87</v>
      </c>
      <c r="B196" s="36"/>
      <c r="C196" s="37"/>
      <c r="D196" s="38" t="s">
        <v>88</v>
      </c>
      <c r="E196" s="39">
        <f t="shared" ref="E196:E200" si="353">F196+I196</f>
        <v>18084794</v>
      </c>
      <c r="F196" s="39">
        <f>F197</f>
        <v>17930794</v>
      </c>
      <c r="G196" s="39">
        <f t="shared" ref="G196:I196" si="354">G197</f>
        <v>10086150</v>
      </c>
      <c r="H196" s="39">
        <f t="shared" si="354"/>
        <v>2641784</v>
      </c>
      <c r="I196" s="39">
        <f t="shared" si="354"/>
        <v>154000</v>
      </c>
      <c r="J196" s="39">
        <f>M196+P196</f>
        <v>456000</v>
      </c>
      <c r="K196" s="39">
        <f t="shared" ref="K196:P196" si="355">K197</f>
        <v>100000</v>
      </c>
      <c r="L196" s="39">
        <f t="shared" si="355"/>
        <v>100000</v>
      </c>
      <c r="M196" s="39">
        <f t="shared" si="355"/>
        <v>304000</v>
      </c>
      <c r="N196" s="39">
        <f t="shared" si="355"/>
        <v>0</v>
      </c>
      <c r="O196" s="39">
        <f t="shared" si="355"/>
        <v>0</v>
      </c>
      <c r="P196" s="39">
        <f t="shared" si="355"/>
        <v>152000</v>
      </c>
      <c r="Q196" s="39">
        <f t="shared" si="258"/>
        <v>18540794</v>
      </c>
    </row>
    <row r="197" spans="1:17" ht="20.25" customHeight="1" x14ac:dyDescent="0.2">
      <c r="A197" s="35" t="s">
        <v>89</v>
      </c>
      <c r="B197" s="36"/>
      <c r="C197" s="37"/>
      <c r="D197" s="38" t="s">
        <v>88</v>
      </c>
      <c r="E197" s="39">
        <f t="shared" si="353"/>
        <v>18084794</v>
      </c>
      <c r="F197" s="39">
        <f>F198+F200+F202</f>
        <v>17930794</v>
      </c>
      <c r="G197" s="39">
        <f t="shared" ref="G197:I197" si="356">G198+G200+G202</f>
        <v>10086150</v>
      </c>
      <c r="H197" s="39">
        <f t="shared" si="356"/>
        <v>2641784</v>
      </c>
      <c r="I197" s="39">
        <f t="shared" si="356"/>
        <v>154000</v>
      </c>
      <c r="J197" s="39">
        <f>J198+J200+J202</f>
        <v>456000</v>
      </c>
      <c r="K197" s="39">
        <f t="shared" ref="K197:P197" si="357">K198+K200+K202</f>
        <v>100000</v>
      </c>
      <c r="L197" s="39">
        <f t="shared" si="357"/>
        <v>100000</v>
      </c>
      <c r="M197" s="39">
        <f t="shared" si="357"/>
        <v>304000</v>
      </c>
      <c r="N197" s="39">
        <f t="shared" si="357"/>
        <v>0</v>
      </c>
      <c r="O197" s="39">
        <f t="shared" si="357"/>
        <v>0</v>
      </c>
      <c r="P197" s="39">
        <f t="shared" si="357"/>
        <v>152000</v>
      </c>
      <c r="Q197" s="39">
        <f t="shared" si="258"/>
        <v>18540794</v>
      </c>
    </row>
    <row r="198" spans="1:17" ht="18.75" customHeight="1" x14ac:dyDescent="0.2">
      <c r="A198" s="6" t="s">
        <v>114</v>
      </c>
      <c r="B198" s="27" t="s">
        <v>115</v>
      </c>
      <c r="C198" s="7" t="s">
        <v>114</v>
      </c>
      <c r="D198" s="8" t="s">
        <v>116</v>
      </c>
      <c r="E198" s="9">
        <f t="shared" si="353"/>
        <v>918250</v>
      </c>
      <c r="F198" s="10">
        <f>F199</f>
        <v>890250</v>
      </c>
      <c r="G198" s="10">
        <f t="shared" ref="G198:I198" si="358">G199</f>
        <v>725950</v>
      </c>
      <c r="H198" s="10">
        <f t="shared" si="358"/>
        <v>0</v>
      </c>
      <c r="I198" s="10">
        <f t="shared" si="358"/>
        <v>28000</v>
      </c>
      <c r="J198" s="9">
        <f>M198+P198</f>
        <v>0</v>
      </c>
      <c r="K198" s="10">
        <f>K199</f>
        <v>0</v>
      </c>
      <c r="L198" s="10">
        <f t="shared" ref="L198:P198" si="359">L199</f>
        <v>0</v>
      </c>
      <c r="M198" s="10">
        <f t="shared" si="359"/>
        <v>0</v>
      </c>
      <c r="N198" s="10">
        <f t="shared" si="359"/>
        <v>0</v>
      </c>
      <c r="O198" s="10">
        <f t="shared" si="359"/>
        <v>0</v>
      </c>
      <c r="P198" s="10">
        <f t="shared" si="359"/>
        <v>0</v>
      </c>
      <c r="Q198" s="9">
        <f t="shared" si="258"/>
        <v>918250</v>
      </c>
    </row>
    <row r="199" spans="1:17" ht="35.25" customHeight="1" x14ac:dyDescent="0.2">
      <c r="A199" s="11" t="s">
        <v>90</v>
      </c>
      <c r="B199" s="11" t="s">
        <v>67</v>
      </c>
      <c r="C199" s="12" t="s">
        <v>15</v>
      </c>
      <c r="D199" s="13" t="s">
        <v>447</v>
      </c>
      <c r="E199" s="14">
        <f t="shared" si="353"/>
        <v>918250</v>
      </c>
      <c r="F199" s="56">
        <f>816450+73800</f>
        <v>890250</v>
      </c>
      <c r="G199" s="15">
        <f>665450+60500</f>
        <v>725950</v>
      </c>
      <c r="H199" s="15"/>
      <c r="I199" s="15">
        <v>28000</v>
      </c>
      <c r="J199" s="14">
        <f>M199+P199</f>
        <v>0</v>
      </c>
      <c r="K199" s="15"/>
      <c r="L199" s="15"/>
      <c r="M199" s="15"/>
      <c r="N199" s="15"/>
      <c r="O199" s="15"/>
      <c r="P199" s="15"/>
      <c r="Q199" s="14">
        <f t="shared" si="258"/>
        <v>918250</v>
      </c>
    </row>
    <row r="200" spans="1:17" ht="18.75" customHeight="1" x14ac:dyDescent="0.2">
      <c r="A200" s="6" t="s">
        <v>114</v>
      </c>
      <c r="B200" s="27" t="s">
        <v>128</v>
      </c>
      <c r="C200" s="7" t="s">
        <v>114</v>
      </c>
      <c r="D200" s="8" t="s">
        <v>129</v>
      </c>
      <c r="E200" s="9">
        <f t="shared" si="353"/>
        <v>2418954</v>
      </c>
      <c r="F200" s="10">
        <f>F201</f>
        <v>2418954</v>
      </c>
      <c r="G200" s="10">
        <f t="shared" ref="G200:I200" si="360">G201</f>
        <v>1860900</v>
      </c>
      <c r="H200" s="10">
        <f t="shared" si="360"/>
        <v>160104</v>
      </c>
      <c r="I200" s="10">
        <f t="shared" si="360"/>
        <v>0</v>
      </c>
      <c r="J200" s="9">
        <f>M200+P200</f>
        <v>95000</v>
      </c>
      <c r="K200" s="10">
        <f>K201</f>
        <v>0</v>
      </c>
      <c r="L200" s="10">
        <f t="shared" ref="L200:P200" si="361">L201</f>
        <v>0</v>
      </c>
      <c r="M200" s="10">
        <f t="shared" si="361"/>
        <v>95000</v>
      </c>
      <c r="N200" s="10">
        <f t="shared" si="361"/>
        <v>0</v>
      </c>
      <c r="O200" s="10">
        <f t="shared" si="361"/>
        <v>0</v>
      </c>
      <c r="P200" s="10">
        <f t="shared" si="361"/>
        <v>0</v>
      </c>
      <c r="Q200" s="9">
        <f t="shared" si="258"/>
        <v>2513954</v>
      </c>
    </row>
    <row r="201" spans="1:17" ht="18.75" customHeight="1" x14ac:dyDescent="0.2">
      <c r="A201" s="11" t="s">
        <v>242</v>
      </c>
      <c r="B201" s="11">
        <v>1080</v>
      </c>
      <c r="C201" s="12" t="s">
        <v>74</v>
      </c>
      <c r="D201" s="13" t="s">
        <v>450</v>
      </c>
      <c r="E201" s="14">
        <f t="shared" ref="E201:E220" si="362">F201+I201</f>
        <v>2418954</v>
      </c>
      <c r="F201" s="15">
        <f>2234054+184900</f>
        <v>2418954</v>
      </c>
      <c r="G201" s="15">
        <f>1705800+155100</f>
        <v>1860900</v>
      </c>
      <c r="H201" s="15">
        <v>160104</v>
      </c>
      <c r="I201" s="15"/>
      <c r="J201" s="14">
        <f t="shared" ref="J201:J208" si="363">M201+P201</f>
        <v>95000</v>
      </c>
      <c r="K201" s="15"/>
      <c r="L201" s="15"/>
      <c r="M201" s="15">
        <v>95000</v>
      </c>
      <c r="N201" s="15"/>
      <c r="O201" s="15"/>
      <c r="P201" s="15"/>
      <c r="Q201" s="14">
        <f t="shared" si="258"/>
        <v>2513954</v>
      </c>
    </row>
    <row r="202" spans="1:17" ht="18.75" customHeight="1" x14ac:dyDescent="0.2">
      <c r="A202" s="6" t="s">
        <v>114</v>
      </c>
      <c r="B202" s="27" t="s">
        <v>132</v>
      </c>
      <c r="C202" s="7" t="s">
        <v>114</v>
      </c>
      <c r="D202" s="8" t="s">
        <v>133</v>
      </c>
      <c r="E202" s="9">
        <f>F202+I202</f>
        <v>14747590</v>
      </c>
      <c r="F202" s="10">
        <f>F203+F204+F205+F206</f>
        <v>14621590</v>
      </c>
      <c r="G202" s="10">
        <f t="shared" ref="G202:I202" si="364">G203+G204+G205+G206</f>
        <v>7499300</v>
      </c>
      <c r="H202" s="10">
        <f t="shared" si="364"/>
        <v>2481680</v>
      </c>
      <c r="I202" s="10">
        <f t="shared" si="364"/>
        <v>126000</v>
      </c>
      <c r="J202" s="9">
        <f>M202+P202</f>
        <v>361000</v>
      </c>
      <c r="K202" s="10">
        <f t="shared" ref="K202:P202" si="365">K203+K204+K205+K206</f>
        <v>100000</v>
      </c>
      <c r="L202" s="10">
        <f t="shared" si="365"/>
        <v>100000</v>
      </c>
      <c r="M202" s="10">
        <f t="shared" si="365"/>
        <v>209000</v>
      </c>
      <c r="N202" s="10">
        <f t="shared" si="365"/>
        <v>0</v>
      </c>
      <c r="O202" s="10">
        <f t="shared" si="365"/>
        <v>0</v>
      </c>
      <c r="P202" s="10">
        <f t="shared" si="365"/>
        <v>152000</v>
      </c>
      <c r="Q202" s="9">
        <f t="shared" ref="Q202:Q203" si="366">E202+J202</f>
        <v>15108590</v>
      </c>
    </row>
    <row r="203" spans="1:17" ht="18.75" customHeight="1" x14ac:dyDescent="0.2">
      <c r="A203" s="11" t="s">
        <v>223</v>
      </c>
      <c r="B203" s="11">
        <v>4030</v>
      </c>
      <c r="C203" s="12" t="s">
        <v>92</v>
      </c>
      <c r="D203" s="13" t="s">
        <v>224</v>
      </c>
      <c r="E203" s="14">
        <f t="shared" ref="E203" si="367">F203+I203</f>
        <v>1950309</v>
      </c>
      <c r="F203" s="15">
        <f>1616909+125400+110000</f>
        <v>1852309</v>
      </c>
      <c r="G203" s="15">
        <f>1127300+102500</f>
        <v>1229800</v>
      </c>
      <c r="H203" s="15">
        <v>153809</v>
      </c>
      <c r="I203" s="15">
        <v>98000</v>
      </c>
      <c r="J203" s="14">
        <f t="shared" ref="J203" si="368">M203+P203</f>
        <v>1000</v>
      </c>
      <c r="K203" s="15"/>
      <c r="L203" s="15"/>
      <c r="M203" s="15">
        <v>1000</v>
      </c>
      <c r="N203" s="15"/>
      <c r="O203" s="15"/>
      <c r="P203" s="15"/>
      <c r="Q203" s="14">
        <f t="shared" si="366"/>
        <v>1951309</v>
      </c>
    </row>
    <row r="204" spans="1:17" ht="15.75" x14ac:dyDescent="0.2">
      <c r="A204" s="11" t="s">
        <v>91</v>
      </c>
      <c r="B204" s="11" t="s">
        <v>93</v>
      </c>
      <c r="C204" s="12" t="s">
        <v>92</v>
      </c>
      <c r="D204" s="13" t="s">
        <v>94</v>
      </c>
      <c r="E204" s="14">
        <f t="shared" si="362"/>
        <v>376370</v>
      </c>
      <c r="F204" s="15">
        <f>363400+12970</f>
        <v>376370</v>
      </c>
      <c r="G204" s="15">
        <f>109000+9900</f>
        <v>118900</v>
      </c>
      <c r="H204" s="15">
        <v>16400</v>
      </c>
      <c r="I204" s="15"/>
      <c r="J204" s="14">
        <f t="shared" si="363"/>
        <v>0</v>
      </c>
      <c r="K204" s="15"/>
      <c r="L204" s="15"/>
      <c r="M204" s="15"/>
      <c r="N204" s="15"/>
      <c r="O204" s="15"/>
      <c r="P204" s="15"/>
      <c r="Q204" s="14">
        <f t="shared" si="258"/>
        <v>376370</v>
      </c>
    </row>
    <row r="205" spans="1:17" ht="18" customHeight="1" x14ac:dyDescent="0.2">
      <c r="A205" s="11" t="s">
        <v>95</v>
      </c>
      <c r="B205" s="11" t="s">
        <v>97</v>
      </c>
      <c r="C205" s="12" t="s">
        <v>96</v>
      </c>
      <c r="D205" s="13" t="s">
        <v>386</v>
      </c>
      <c r="E205" s="14">
        <f t="shared" si="362"/>
        <v>11541111</v>
      </c>
      <c r="F205" s="15">
        <f>10877811+576600+86700</f>
        <v>11541111</v>
      </c>
      <c r="G205" s="15">
        <f>5091200+462800</f>
        <v>5554000</v>
      </c>
      <c r="H205" s="15">
        <v>2311471</v>
      </c>
      <c r="I205" s="15"/>
      <c r="J205" s="14">
        <f t="shared" si="363"/>
        <v>260000</v>
      </c>
      <c r="K205" s="15"/>
      <c r="L205" s="15"/>
      <c r="M205" s="15">
        <v>208000</v>
      </c>
      <c r="N205" s="15"/>
      <c r="O205" s="15"/>
      <c r="P205" s="15">
        <v>52000</v>
      </c>
      <c r="Q205" s="14">
        <f t="shared" si="258"/>
        <v>11801111</v>
      </c>
    </row>
    <row r="206" spans="1:17" ht="18" customHeight="1" x14ac:dyDescent="0.2">
      <c r="A206" s="11" t="s">
        <v>225</v>
      </c>
      <c r="B206" s="11">
        <v>4080</v>
      </c>
      <c r="C206" s="12" t="s">
        <v>105</v>
      </c>
      <c r="D206" s="13" t="s">
        <v>226</v>
      </c>
      <c r="E206" s="14">
        <f t="shared" ref="E206" si="369">F206+I206</f>
        <v>879800</v>
      </c>
      <c r="F206" s="15">
        <f>F207+F208+F209</f>
        <v>851800</v>
      </c>
      <c r="G206" s="15">
        <f t="shared" ref="G206:I206" si="370">G207+G208+G209</f>
        <v>596600</v>
      </c>
      <c r="H206" s="15">
        <f t="shared" si="370"/>
        <v>0</v>
      </c>
      <c r="I206" s="15">
        <f t="shared" si="370"/>
        <v>28000</v>
      </c>
      <c r="J206" s="14">
        <f t="shared" ref="J206" si="371">M206+P206</f>
        <v>100000</v>
      </c>
      <c r="K206" s="15">
        <f t="shared" ref="K206:P206" si="372">K207+K208+K209</f>
        <v>100000</v>
      </c>
      <c r="L206" s="15">
        <f t="shared" si="372"/>
        <v>100000</v>
      </c>
      <c r="M206" s="15">
        <f t="shared" si="372"/>
        <v>0</v>
      </c>
      <c r="N206" s="15">
        <f t="shared" si="372"/>
        <v>0</v>
      </c>
      <c r="O206" s="15">
        <f t="shared" si="372"/>
        <v>0</v>
      </c>
      <c r="P206" s="15">
        <f t="shared" si="372"/>
        <v>100000</v>
      </c>
      <c r="Q206" s="14">
        <f t="shared" ref="Q206" si="373">E206+J206</f>
        <v>979800</v>
      </c>
    </row>
    <row r="207" spans="1:17" ht="18" customHeight="1" x14ac:dyDescent="0.2">
      <c r="A207" s="16" t="s">
        <v>98</v>
      </c>
      <c r="B207" s="16" t="s">
        <v>100</v>
      </c>
      <c r="C207" s="17" t="s">
        <v>99</v>
      </c>
      <c r="D207" s="18" t="s">
        <v>101</v>
      </c>
      <c r="E207" s="19">
        <f t="shared" si="362"/>
        <v>793800</v>
      </c>
      <c r="F207" s="20">
        <f>705150+60650</f>
        <v>765800</v>
      </c>
      <c r="G207" s="20">
        <f>546900+49700</f>
        <v>596600</v>
      </c>
      <c r="H207" s="20"/>
      <c r="I207" s="20">
        <v>28000</v>
      </c>
      <c r="J207" s="19">
        <f t="shared" si="363"/>
        <v>0</v>
      </c>
      <c r="K207" s="20"/>
      <c r="L207" s="20"/>
      <c r="M207" s="20"/>
      <c r="N207" s="20"/>
      <c r="O207" s="20"/>
      <c r="P207" s="20"/>
      <c r="Q207" s="19">
        <f t="shared" si="258"/>
        <v>793800</v>
      </c>
    </row>
    <row r="208" spans="1:17" ht="15.75" x14ac:dyDescent="0.2">
      <c r="A208" s="16" t="s">
        <v>102</v>
      </c>
      <c r="B208" s="16" t="s">
        <v>103</v>
      </c>
      <c r="C208" s="17" t="s">
        <v>99</v>
      </c>
      <c r="D208" s="18" t="s">
        <v>104</v>
      </c>
      <c r="E208" s="19">
        <f t="shared" si="362"/>
        <v>86000</v>
      </c>
      <c r="F208" s="20">
        <v>86000</v>
      </c>
      <c r="G208" s="20"/>
      <c r="H208" s="20"/>
      <c r="I208" s="20"/>
      <c r="J208" s="19">
        <f t="shared" si="363"/>
        <v>0</v>
      </c>
      <c r="K208" s="20"/>
      <c r="L208" s="20"/>
      <c r="M208" s="20"/>
      <c r="N208" s="20"/>
      <c r="O208" s="20"/>
      <c r="P208" s="20"/>
      <c r="Q208" s="19">
        <f t="shared" si="258"/>
        <v>86000</v>
      </c>
    </row>
    <row r="209" spans="1:17" ht="31.5" x14ac:dyDescent="0.2">
      <c r="A209" s="16" t="s">
        <v>435</v>
      </c>
      <c r="B209" s="16">
        <v>4083</v>
      </c>
      <c r="C209" s="17" t="s">
        <v>99</v>
      </c>
      <c r="D209" s="18" t="s">
        <v>436</v>
      </c>
      <c r="E209" s="19">
        <f t="shared" ref="E209" si="374">F209+I209</f>
        <v>0</v>
      </c>
      <c r="F209" s="20"/>
      <c r="G209" s="20"/>
      <c r="H209" s="20"/>
      <c r="I209" s="20"/>
      <c r="J209" s="19">
        <f t="shared" ref="J209" si="375">M209+P209</f>
        <v>100000</v>
      </c>
      <c r="K209" s="20">
        <v>100000</v>
      </c>
      <c r="L209" s="20">
        <v>100000</v>
      </c>
      <c r="M209" s="20"/>
      <c r="N209" s="20"/>
      <c r="O209" s="20"/>
      <c r="P209" s="20">
        <v>100000</v>
      </c>
      <c r="Q209" s="19">
        <f t="shared" ref="Q209" si="376">E209+J209</f>
        <v>100000</v>
      </c>
    </row>
    <row r="210" spans="1:17" ht="23.25" customHeight="1" x14ac:dyDescent="0.2">
      <c r="A210" s="35">
        <v>3700000</v>
      </c>
      <c r="B210" s="36"/>
      <c r="C210" s="37"/>
      <c r="D210" s="38" t="s">
        <v>227</v>
      </c>
      <c r="E210" s="39">
        <f t="shared" si="362"/>
        <v>61492655</v>
      </c>
      <c r="F210" s="39">
        <f>F211</f>
        <v>52085655</v>
      </c>
      <c r="G210" s="39">
        <f t="shared" ref="G210:I210" si="377">G211</f>
        <v>1520200</v>
      </c>
      <c r="H210" s="39">
        <f t="shared" si="377"/>
        <v>45400</v>
      </c>
      <c r="I210" s="39">
        <f t="shared" si="377"/>
        <v>9407000</v>
      </c>
      <c r="J210" s="39">
        <f>M210+P210</f>
        <v>1151496</v>
      </c>
      <c r="K210" s="39">
        <f t="shared" ref="K210:P210" si="378">K211</f>
        <v>1151496</v>
      </c>
      <c r="L210" s="39">
        <f t="shared" si="378"/>
        <v>1151496</v>
      </c>
      <c r="M210" s="39">
        <f t="shared" si="378"/>
        <v>0</v>
      </c>
      <c r="N210" s="39">
        <f t="shared" si="378"/>
        <v>0</v>
      </c>
      <c r="O210" s="39">
        <f t="shared" si="378"/>
        <v>0</v>
      </c>
      <c r="P210" s="39">
        <f t="shared" si="378"/>
        <v>1151496</v>
      </c>
      <c r="Q210" s="39">
        <f t="shared" ref="Q210:Q220" si="379">E210+J210</f>
        <v>62644151</v>
      </c>
    </row>
    <row r="211" spans="1:17" ht="23.25" customHeight="1" x14ac:dyDescent="0.2">
      <c r="A211" s="35">
        <v>3710000</v>
      </c>
      <c r="B211" s="36"/>
      <c r="C211" s="37"/>
      <c r="D211" s="38" t="s">
        <v>227</v>
      </c>
      <c r="E211" s="39">
        <f t="shared" si="362"/>
        <v>61492655</v>
      </c>
      <c r="F211" s="39">
        <f>F212+F214</f>
        <v>52085655</v>
      </c>
      <c r="G211" s="39">
        <f t="shared" ref="G211:I211" si="380">G212+G214</f>
        <v>1520200</v>
      </c>
      <c r="H211" s="39">
        <f t="shared" si="380"/>
        <v>45400</v>
      </c>
      <c r="I211" s="39">
        <f t="shared" si="380"/>
        <v>9407000</v>
      </c>
      <c r="J211" s="39">
        <f t="shared" ref="J211" si="381">K211+N211</f>
        <v>1151496</v>
      </c>
      <c r="K211" s="39">
        <f t="shared" ref="K211:P211" si="382">K212+K214</f>
        <v>1151496</v>
      </c>
      <c r="L211" s="39">
        <f t="shared" si="382"/>
        <v>1151496</v>
      </c>
      <c r="M211" s="39">
        <f t="shared" si="382"/>
        <v>0</v>
      </c>
      <c r="N211" s="39">
        <f t="shared" si="382"/>
        <v>0</v>
      </c>
      <c r="O211" s="39">
        <f t="shared" si="382"/>
        <v>0</v>
      </c>
      <c r="P211" s="39">
        <f t="shared" si="382"/>
        <v>1151496</v>
      </c>
      <c r="Q211" s="39">
        <f t="shared" si="379"/>
        <v>62644151</v>
      </c>
    </row>
    <row r="212" spans="1:17" ht="15.75" x14ac:dyDescent="0.2">
      <c r="A212" s="6" t="s">
        <v>114</v>
      </c>
      <c r="B212" s="27" t="s">
        <v>115</v>
      </c>
      <c r="C212" s="7" t="s">
        <v>114</v>
      </c>
      <c r="D212" s="8" t="s">
        <v>116</v>
      </c>
      <c r="E212" s="9">
        <f t="shared" si="362"/>
        <v>2009355</v>
      </c>
      <c r="F212" s="10">
        <f>F213</f>
        <v>1979355</v>
      </c>
      <c r="G212" s="10">
        <f t="shared" ref="G212:I212" si="383">G213</f>
        <v>1520200</v>
      </c>
      <c r="H212" s="10">
        <f t="shared" si="383"/>
        <v>45400</v>
      </c>
      <c r="I212" s="10">
        <f t="shared" si="383"/>
        <v>30000</v>
      </c>
      <c r="J212" s="9">
        <f>M212+P212</f>
        <v>0</v>
      </c>
      <c r="K212" s="10">
        <f>K213</f>
        <v>0</v>
      </c>
      <c r="L212" s="10">
        <f t="shared" ref="L212:P212" si="384">L213</f>
        <v>0</v>
      </c>
      <c r="M212" s="10">
        <f t="shared" si="384"/>
        <v>0</v>
      </c>
      <c r="N212" s="10">
        <f t="shared" si="384"/>
        <v>0</v>
      </c>
      <c r="O212" s="10">
        <f t="shared" si="384"/>
        <v>0</v>
      </c>
      <c r="P212" s="10">
        <f t="shared" si="384"/>
        <v>0</v>
      </c>
      <c r="Q212" s="9">
        <f t="shared" si="379"/>
        <v>2009355</v>
      </c>
    </row>
    <row r="213" spans="1:17" ht="35.25" customHeight="1" x14ac:dyDescent="0.2">
      <c r="A213" s="11">
        <v>3710160</v>
      </c>
      <c r="B213" s="11" t="s">
        <v>67</v>
      </c>
      <c r="C213" s="12" t="s">
        <v>15</v>
      </c>
      <c r="D213" s="13" t="s">
        <v>451</v>
      </c>
      <c r="E213" s="14">
        <f t="shared" si="362"/>
        <v>2009355</v>
      </c>
      <c r="F213" s="15">
        <f>1870000+109355</f>
        <v>1979355</v>
      </c>
      <c r="G213" s="15">
        <f>1430574+89626</f>
        <v>1520200</v>
      </c>
      <c r="H213" s="15">
        <v>45400</v>
      </c>
      <c r="I213" s="15">
        <v>30000</v>
      </c>
      <c r="J213" s="14">
        <f>M213+P213</f>
        <v>0</v>
      </c>
      <c r="K213" s="15"/>
      <c r="L213" s="15"/>
      <c r="M213" s="15"/>
      <c r="N213" s="15"/>
      <c r="O213" s="15"/>
      <c r="P213" s="15"/>
      <c r="Q213" s="14">
        <f t="shared" si="379"/>
        <v>2009355</v>
      </c>
    </row>
    <row r="214" spans="1:17" ht="15.75" x14ac:dyDescent="0.2">
      <c r="A214" s="6" t="s">
        <v>114</v>
      </c>
      <c r="B214" s="6">
        <v>9000</v>
      </c>
      <c r="C214" s="28" t="s">
        <v>114</v>
      </c>
      <c r="D214" s="8" t="s">
        <v>125</v>
      </c>
      <c r="E214" s="9">
        <f t="shared" si="362"/>
        <v>59483300</v>
      </c>
      <c r="F214" s="10">
        <f>F215+F217+F220</f>
        <v>50106300</v>
      </c>
      <c r="G214" s="10">
        <f t="shared" ref="G214:I214" si="385">G215+G217+G220</f>
        <v>0</v>
      </c>
      <c r="H214" s="10">
        <f t="shared" si="385"/>
        <v>0</v>
      </c>
      <c r="I214" s="10">
        <f t="shared" si="385"/>
        <v>9377000</v>
      </c>
      <c r="J214" s="9">
        <f t="shared" ref="J214:J220" si="386">M214+P214</f>
        <v>1151496</v>
      </c>
      <c r="K214" s="10">
        <f t="shared" ref="K214:P214" si="387">K215+K217+K220</f>
        <v>1151496</v>
      </c>
      <c r="L214" s="10">
        <f t="shared" si="387"/>
        <v>1151496</v>
      </c>
      <c r="M214" s="10">
        <f t="shared" si="387"/>
        <v>0</v>
      </c>
      <c r="N214" s="10">
        <f t="shared" si="387"/>
        <v>0</v>
      </c>
      <c r="O214" s="10">
        <f t="shared" si="387"/>
        <v>0</v>
      </c>
      <c r="P214" s="10">
        <f t="shared" si="387"/>
        <v>1151496</v>
      </c>
      <c r="Q214" s="9">
        <f t="shared" si="379"/>
        <v>60634796</v>
      </c>
    </row>
    <row r="215" spans="1:17" ht="21" customHeight="1" x14ac:dyDescent="0.2">
      <c r="A215" s="6" t="s">
        <v>114</v>
      </c>
      <c r="B215" s="6">
        <v>9100</v>
      </c>
      <c r="C215" s="28" t="s">
        <v>114</v>
      </c>
      <c r="D215" s="8" t="s">
        <v>126</v>
      </c>
      <c r="E215" s="9">
        <f t="shared" si="362"/>
        <v>32934000</v>
      </c>
      <c r="F215" s="10">
        <f>F216</f>
        <v>32934000</v>
      </c>
      <c r="G215" s="10">
        <f t="shared" ref="G215:I215" si="388">G216</f>
        <v>0</v>
      </c>
      <c r="H215" s="10">
        <f t="shared" si="388"/>
        <v>0</v>
      </c>
      <c r="I215" s="10">
        <f t="shared" si="388"/>
        <v>0</v>
      </c>
      <c r="J215" s="9">
        <f t="shared" si="386"/>
        <v>0</v>
      </c>
      <c r="K215" s="10">
        <f>K216</f>
        <v>0</v>
      </c>
      <c r="L215" s="10">
        <f t="shared" ref="L215:P215" si="389">L216</f>
        <v>0</v>
      </c>
      <c r="M215" s="10">
        <f t="shared" si="389"/>
        <v>0</v>
      </c>
      <c r="N215" s="10">
        <f t="shared" si="389"/>
        <v>0</v>
      </c>
      <c r="O215" s="10">
        <f t="shared" si="389"/>
        <v>0</v>
      </c>
      <c r="P215" s="10">
        <f t="shared" si="389"/>
        <v>0</v>
      </c>
      <c r="Q215" s="9">
        <f t="shared" si="379"/>
        <v>32934000</v>
      </c>
    </row>
    <row r="216" spans="1:17" ht="15.75" x14ac:dyDescent="0.2">
      <c r="A216" s="11" t="s">
        <v>228</v>
      </c>
      <c r="B216" s="11" t="s">
        <v>61</v>
      </c>
      <c r="C216" s="12" t="s">
        <v>20</v>
      </c>
      <c r="D216" s="13" t="s">
        <v>62</v>
      </c>
      <c r="E216" s="14">
        <f t="shared" si="362"/>
        <v>32934000</v>
      </c>
      <c r="F216" s="15">
        <f>30692000+183600+2058400</f>
        <v>32934000</v>
      </c>
      <c r="G216" s="15"/>
      <c r="H216" s="15"/>
      <c r="I216" s="15"/>
      <c r="J216" s="14">
        <f t="shared" si="386"/>
        <v>0</v>
      </c>
      <c r="K216" s="15"/>
      <c r="L216" s="15"/>
      <c r="M216" s="15"/>
      <c r="N216" s="15"/>
      <c r="O216" s="15"/>
      <c r="P216" s="15"/>
      <c r="Q216" s="14">
        <f t="shared" si="379"/>
        <v>32934000</v>
      </c>
    </row>
    <row r="217" spans="1:17" ht="31.5" x14ac:dyDescent="0.2">
      <c r="A217" s="6" t="s">
        <v>114</v>
      </c>
      <c r="B217" s="6">
        <v>9700</v>
      </c>
      <c r="C217" s="28" t="s">
        <v>114</v>
      </c>
      <c r="D217" s="8" t="s">
        <v>127</v>
      </c>
      <c r="E217" s="9">
        <f t="shared" si="362"/>
        <v>100000</v>
      </c>
      <c r="F217" s="10">
        <f>F219</f>
        <v>100000</v>
      </c>
      <c r="G217" s="10">
        <f>G218+G219</f>
        <v>0</v>
      </c>
      <c r="H217" s="10">
        <f t="shared" ref="H217:I217" si="390">H218+H219</f>
        <v>0</v>
      </c>
      <c r="I217" s="10">
        <f t="shared" si="390"/>
        <v>0</v>
      </c>
      <c r="J217" s="9">
        <f t="shared" si="386"/>
        <v>1151496</v>
      </c>
      <c r="K217" s="10">
        <f t="shared" ref="K217:P217" si="391">K218+K219</f>
        <v>1151496</v>
      </c>
      <c r="L217" s="10">
        <f t="shared" si="391"/>
        <v>1151496</v>
      </c>
      <c r="M217" s="10">
        <f t="shared" si="391"/>
        <v>0</v>
      </c>
      <c r="N217" s="10">
        <f t="shared" si="391"/>
        <v>0</v>
      </c>
      <c r="O217" s="10">
        <f t="shared" si="391"/>
        <v>0</v>
      </c>
      <c r="P217" s="10">
        <f t="shared" si="391"/>
        <v>1151496</v>
      </c>
      <c r="Q217" s="9">
        <f t="shared" si="379"/>
        <v>1251496</v>
      </c>
    </row>
    <row r="218" spans="1:17" ht="15.75" customHeight="1" x14ac:dyDescent="0.2">
      <c r="A218" s="11">
        <v>3719720</v>
      </c>
      <c r="B218" s="11">
        <v>9720</v>
      </c>
      <c r="C218" s="12" t="s">
        <v>20</v>
      </c>
      <c r="D218" s="13" t="s">
        <v>453</v>
      </c>
      <c r="E218" s="14">
        <f t="shared" ref="E218" si="392">F218+I218</f>
        <v>0</v>
      </c>
      <c r="F218" s="15"/>
      <c r="G218" s="15"/>
      <c r="H218" s="15"/>
      <c r="I218" s="15"/>
      <c r="J218" s="14">
        <f t="shared" ref="J218" si="393">M218+P218</f>
        <v>1151496</v>
      </c>
      <c r="K218" s="15">
        <v>1151496</v>
      </c>
      <c r="L218" s="15">
        <v>1151496</v>
      </c>
      <c r="M218" s="15"/>
      <c r="N218" s="15"/>
      <c r="O218" s="15"/>
      <c r="P218" s="15">
        <v>1151496</v>
      </c>
      <c r="Q218" s="14">
        <f t="shared" ref="Q218" si="394">E218+J218</f>
        <v>1151496</v>
      </c>
    </row>
    <row r="219" spans="1:17" ht="15.75" x14ac:dyDescent="0.2">
      <c r="A219" s="11">
        <v>3719770</v>
      </c>
      <c r="B219" s="11">
        <v>9770</v>
      </c>
      <c r="C219" s="12" t="s">
        <v>20</v>
      </c>
      <c r="D219" s="13" t="s">
        <v>63</v>
      </c>
      <c r="E219" s="14">
        <f t="shared" si="362"/>
        <v>100000</v>
      </c>
      <c r="F219" s="15">
        <v>100000</v>
      </c>
      <c r="G219" s="15"/>
      <c r="H219" s="15"/>
      <c r="I219" s="15"/>
      <c r="J219" s="14">
        <f t="shared" si="386"/>
        <v>0</v>
      </c>
      <c r="K219" s="15"/>
      <c r="L219" s="15"/>
      <c r="M219" s="15"/>
      <c r="N219" s="15"/>
      <c r="O219" s="15"/>
      <c r="P219" s="15"/>
      <c r="Q219" s="14">
        <f t="shared" si="379"/>
        <v>100000</v>
      </c>
    </row>
    <row r="220" spans="1:17" ht="30.75" customHeight="1" x14ac:dyDescent="0.2">
      <c r="A220" s="11">
        <v>3719800</v>
      </c>
      <c r="B220" s="11">
        <v>9800</v>
      </c>
      <c r="C220" s="12" t="s">
        <v>20</v>
      </c>
      <c r="D220" s="13" t="s">
        <v>325</v>
      </c>
      <c r="E220" s="14">
        <f t="shared" si="362"/>
        <v>26449300</v>
      </c>
      <c r="F220" s="15">
        <f>300000+400000+8490000+2000000+500000+99300+2753000+250000+30000+2250000</f>
        <v>17072300</v>
      </c>
      <c r="G220" s="15"/>
      <c r="H220" s="15"/>
      <c r="I220" s="15">
        <f>120000+3750000+3907000+1100000+500000</f>
        <v>9377000</v>
      </c>
      <c r="J220" s="14">
        <f t="shared" si="386"/>
        <v>0</v>
      </c>
      <c r="K220" s="15"/>
      <c r="L220" s="15"/>
      <c r="M220" s="15"/>
      <c r="N220" s="15"/>
      <c r="O220" s="15"/>
      <c r="P220" s="15"/>
      <c r="Q220" s="14">
        <f t="shared" si="379"/>
        <v>26449300</v>
      </c>
    </row>
    <row r="221" spans="1:17" ht="15.75" x14ac:dyDescent="0.2">
      <c r="A221" s="31" t="s">
        <v>105</v>
      </c>
      <c r="B221" s="30" t="s">
        <v>105</v>
      </c>
      <c r="C221" s="32" t="s">
        <v>105</v>
      </c>
      <c r="D221" s="33" t="s">
        <v>134</v>
      </c>
      <c r="E221" s="34">
        <f>F221+I221</f>
        <v>342339362</v>
      </c>
      <c r="F221" s="34">
        <f>F13+F124+F196+F210</f>
        <v>309371662</v>
      </c>
      <c r="G221" s="34">
        <f>G13+G124+G196+G210</f>
        <v>140089451</v>
      </c>
      <c r="H221" s="34">
        <f>H13+H124+H196+H210</f>
        <v>21072159</v>
      </c>
      <c r="I221" s="34">
        <f>I13+I124+I196+I210</f>
        <v>32967700</v>
      </c>
      <c r="J221" s="34">
        <f>M221+P221</f>
        <v>25403372.850000001</v>
      </c>
      <c r="K221" s="34">
        <f t="shared" ref="K221:P221" si="395">K13+K124+K196+K210</f>
        <v>20360246</v>
      </c>
      <c r="L221" s="34">
        <f t="shared" si="395"/>
        <v>20360246</v>
      </c>
      <c r="M221" s="34">
        <f t="shared" si="395"/>
        <v>5864876.8499999996</v>
      </c>
      <c r="N221" s="34">
        <f t="shared" si="395"/>
        <v>700000</v>
      </c>
      <c r="O221" s="34">
        <f t="shared" si="395"/>
        <v>110710</v>
      </c>
      <c r="P221" s="34">
        <f t="shared" si="395"/>
        <v>19538496</v>
      </c>
      <c r="Q221" s="34">
        <f>E221+J221</f>
        <v>367742734.85000002</v>
      </c>
    </row>
    <row r="222" spans="1:17" ht="39" customHeight="1" x14ac:dyDescent="0.25">
      <c r="A222" s="21" t="s">
        <v>396</v>
      </c>
      <c r="I222" s="22" t="s">
        <v>397</v>
      </c>
    </row>
    <row r="223" spans="1:17" ht="15.75" x14ac:dyDescent="0.2">
      <c r="A223" s="21"/>
      <c r="Q223" s="44"/>
    </row>
    <row r="224" spans="1:17" x14ac:dyDescent="0.2">
      <c r="B224" s="1"/>
      <c r="H224" s="44"/>
      <c r="I224" s="1"/>
      <c r="K224" s="44"/>
    </row>
    <row r="225" spans="11:11" x14ac:dyDescent="0.2">
      <c r="K225" s="44"/>
    </row>
  </sheetData>
  <mergeCells count="27">
    <mergeCell ref="A6:B6"/>
    <mergeCell ref="K9:L9"/>
    <mergeCell ref="K10:K11"/>
    <mergeCell ref="L10:L11"/>
    <mergeCell ref="P9:P11"/>
    <mergeCell ref="C8:C11"/>
    <mergeCell ref="D8:D11"/>
    <mergeCell ref="E8:I8"/>
    <mergeCell ref="E9:E11"/>
    <mergeCell ref="F9:F11"/>
    <mergeCell ref="G9:H9"/>
    <mergeCell ref="Q8:Q11"/>
    <mergeCell ref="N1:Q1"/>
    <mergeCell ref="N2:Q2"/>
    <mergeCell ref="G10:G11"/>
    <mergeCell ref="H10:H11"/>
    <mergeCell ref="I9:I11"/>
    <mergeCell ref="J8:P8"/>
    <mergeCell ref="J9:J11"/>
    <mergeCell ref="M9:M11"/>
    <mergeCell ref="N9:O9"/>
    <mergeCell ref="N10:N11"/>
    <mergeCell ref="O10:O11"/>
    <mergeCell ref="A4:Q4"/>
    <mergeCell ref="A5:Q5"/>
    <mergeCell ref="A8:A11"/>
    <mergeCell ref="B8:B11"/>
  </mergeCells>
  <pageMargins left="0.39370078740157483" right="0.19685039370078741" top="0.39370078740157483" bottom="0.19685039370078741" header="0" footer="0"/>
  <pageSetup paperSize="9" scale="45" orientation="landscape" r:id="rId1"/>
  <rowBreaks count="2" manualBreakCount="2">
    <brk id="58" max="16" man="1"/>
    <brk id="14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2026-04-01T06:50:37Z</cp:lastPrinted>
  <dcterms:created xsi:type="dcterms:W3CDTF">2019-11-19T09:53:49Z</dcterms:created>
  <dcterms:modified xsi:type="dcterms:W3CDTF">2026-05-13T09:12:03Z</dcterms:modified>
</cp:coreProperties>
</file>