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" i="1" l="1"/>
  <c r="J16" i="1"/>
  <c r="J15" i="1"/>
  <c r="J40" i="1"/>
  <c r="F62" i="1" l="1"/>
  <c r="F17" i="1" l="1"/>
  <c r="F40" i="1"/>
  <c r="F51" i="1" l="1"/>
  <c r="F57" i="1"/>
  <c r="F39" i="1" l="1"/>
  <c r="O51" i="1" l="1"/>
  <c r="K51" i="1"/>
  <c r="F56" i="1" l="1"/>
  <c r="K55" i="1" l="1"/>
  <c r="O57" i="1" l="1"/>
  <c r="K57" i="1"/>
  <c r="O56" i="1" l="1"/>
  <c r="K56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F55" i="1" l="1"/>
  <c r="P71" i="1"/>
  <c r="J71" i="1"/>
  <c r="E71" i="1"/>
  <c r="F105" i="1" l="1"/>
  <c r="J53" i="1" l="1"/>
  <c r="E53" i="1"/>
  <c r="P53" i="1" s="1"/>
  <c r="G80" i="1"/>
  <c r="F80" i="1"/>
  <c r="F20" i="1"/>
  <c r="O17" i="1"/>
  <c r="K17" i="1"/>
  <c r="F45" i="1" l="1"/>
  <c r="F73" i="1"/>
  <c r="E46" i="1" l="1"/>
  <c r="E47" i="1"/>
  <c r="E48" i="1"/>
  <c r="E49" i="1"/>
  <c r="E50" i="1"/>
  <c r="E51" i="1"/>
  <c r="E52" i="1"/>
  <c r="G72" i="1" l="1"/>
  <c r="F72" i="1"/>
  <c r="F70" i="1"/>
  <c r="G73" i="1"/>
  <c r="G56" i="1"/>
  <c r="G57" i="1"/>
  <c r="H101" i="1" l="1"/>
  <c r="G101" i="1"/>
  <c r="F101" i="1"/>
  <c r="G98" i="1"/>
  <c r="H98" i="1"/>
  <c r="F98" i="1"/>
  <c r="G79" i="1"/>
  <c r="F79" i="1"/>
  <c r="K63" i="1" l="1"/>
  <c r="F63" i="1"/>
  <c r="E62" i="1"/>
  <c r="E64" i="1"/>
  <c r="J64" i="1"/>
  <c r="F61" i="1"/>
  <c r="J62" i="1"/>
  <c r="O61" i="1"/>
  <c r="K61" i="1"/>
  <c r="L55" i="1"/>
  <c r="P62" i="1" l="1"/>
  <c r="P64" i="1"/>
  <c r="F76" i="1" l="1"/>
  <c r="F38" i="1" l="1"/>
  <c r="O52" i="1" l="1"/>
  <c r="K52" i="1"/>
  <c r="J57" i="1" l="1"/>
  <c r="G22" i="1" l="1"/>
  <c r="F22" i="1"/>
  <c r="H17" i="1"/>
  <c r="F103" i="1" l="1"/>
  <c r="F104" i="1"/>
  <c r="I55" i="1" l="1"/>
  <c r="J74" i="1"/>
  <c r="E74" i="1"/>
  <c r="P74" i="1" l="1"/>
  <c r="F87" i="1"/>
  <c r="L16" i="1"/>
  <c r="I16" i="1" l="1"/>
  <c r="M16" i="1"/>
  <c r="N16" i="1"/>
  <c r="J52" i="1"/>
  <c r="P52" i="1" s="1"/>
  <c r="E19" i="1"/>
  <c r="P19" i="1" s="1"/>
  <c r="H56" i="1"/>
  <c r="J56" i="1"/>
  <c r="J55" i="1" s="1"/>
  <c r="M57" i="1"/>
  <c r="M55" i="1" s="1"/>
  <c r="N57" i="1"/>
  <c r="N55" i="1" s="1"/>
  <c r="J61" i="1"/>
  <c r="J63" i="1"/>
  <c r="E59" i="1"/>
  <c r="E60" i="1"/>
  <c r="E61" i="1"/>
  <c r="P61" i="1" s="1"/>
  <c r="E63" i="1"/>
  <c r="G17" i="1"/>
  <c r="P63" i="1" l="1"/>
  <c r="J51" i="1"/>
  <c r="P51" i="1" s="1"/>
  <c r="G39" i="1" l="1"/>
  <c r="G16" i="1" s="1"/>
  <c r="O50" i="1" l="1"/>
  <c r="O16" i="1" s="1"/>
  <c r="K50" i="1"/>
  <c r="K16" i="1" s="1"/>
  <c r="J81" i="1" l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K78" i="1" l="1"/>
  <c r="J80" i="1"/>
  <c r="J59" i="1" l="1"/>
  <c r="P59" i="1" s="1"/>
  <c r="J60" i="1"/>
  <c r="P60" i="1" s="1"/>
  <c r="J50" i="1" l="1"/>
  <c r="P50" i="1" s="1"/>
  <c r="O75" i="1" l="1"/>
  <c r="K75" i="1"/>
  <c r="O76" i="1"/>
  <c r="K76" i="1"/>
  <c r="J75" i="1" l="1"/>
  <c r="E75" i="1"/>
  <c r="P75" i="1" l="1"/>
  <c r="J49" i="1" l="1"/>
  <c r="P49" i="1" s="1"/>
  <c r="H72" i="1"/>
  <c r="J47" i="1"/>
  <c r="P47" i="1" s="1"/>
  <c r="J48" i="1"/>
  <c r="F37" i="1"/>
  <c r="H73" i="1"/>
  <c r="H57" i="1"/>
  <c r="P48" i="1" l="1"/>
  <c r="H70" i="1"/>
  <c r="H55" i="1" s="1"/>
  <c r="E80" i="1"/>
  <c r="G78" i="1"/>
  <c r="O65" i="1"/>
  <c r="O55" i="1" s="1"/>
  <c r="J66" i="1"/>
  <c r="E66" i="1"/>
  <c r="K65" i="1"/>
  <c r="F65" i="1"/>
  <c r="F97" i="1"/>
  <c r="F96" i="1" s="1"/>
  <c r="G70" i="1"/>
  <c r="G55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78" i="1"/>
  <c r="I78" i="1"/>
  <c r="L78" i="1"/>
  <c r="M78" i="1"/>
  <c r="N78" i="1"/>
  <c r="O78" i="1"/>
  <c r="E95" i="1"/>
  <c r="P95" i="1" s="1"/>
  <c r="E94" i="1"/>
  <c r="P94" i="1" s="1"/>
  <c r="E93" i="1"/>
  <c r="P93" i="1" s="1"/>
  <c r="E92" i="1"/>
  <c r="P92" i="1" s="1"/>
  <c r="F91" i="1"/>
  <c r="E91" i="1" s="1"/>
  <c r="P91" i="1" s="1"/>
  <c r="E90" i="1"/>
  <c r="P90" i="1" s="1"/>
  <c r="E89" i="1"/>
  <c r="P89" i="1" s="1"/>
  <c r="F88" i="1"/>
  <c r="E88" i="1" s="1"/>
  <c r="P88" i="1" s="1"/>
  <c r="E87" i="1"/>
  <c r="P87" i="1" s="1"/>
  <c r="E86" i="1"/>
  <c r="P86" i="1" s="1"/>
  <c r="F85" i="1"/>
  <c r="E85" i="1" s="1"/>
  <c r="P85" i="1" s="1"/>
  <c r="E84" i="1"/>
  <c r="P84" i="1" s="1"/>
  <c r="F83" i="1"/>
  <c r="E83" i="1" s="1"/>
  <c r="P83" i="1" s="1"/>
  <c r="F82" i="1"/>
  <c r="E82" i="1" s="1"/>
  <c r="P82" i="1" s="1"/>
  <c r="E81" i="1"/>
  <c r="P81" i="1" s="1"/>
  <c r="P66" i="1" l="1"/>
  <c r="F78" i="1"/>
  <c r="P80" i="1"/>
  <c r="F77" i="1" l="1"/>
  <c r="G77" i="1"/>
  <c r="H77" i="1"/>
  <c r="I77" i="1"/>
  <c r="K77" i="1"/>
  <c r="L77" i="1"/>
  <c r="M77" i="1"/>
  <c r="N77" i="1"/>
  <c r="O77" i="1"/>
  <c r="J79" i="1"/>
  <c r="E79" i="1"/>
  <c r="E78" i="1" s="1"/>
  <c r="J78" i="1" l="1"/>
  <c r="J77" i="1" s="1"/>
  <c r="E77" i="1"/>
  <c r="P79" i="1"/>
  <c r="P78" i="1" s="1"/>
  <c r="P77" i="1" l="1"/>
  <c r="J65" i="1"/>
  <c r="E65" i="1"/>
  <c r="P65" i="1" l="1"/>
  <c r="J76" i="1"/>
  <c r="E76" i="1"/>
  <c r="H39" i="1"/>
  <c r="F18" i="1"/>
  <c r="F16" i="1" s="1"/>
  <c r="E40" i="1"/>
  <c r="E18" i="1"/>
  <c r="P18" i="1" s="1"/>
  <c r="E105" i="1"/>
  <c r="P41" i="1"/>
  <c r="P42" i="1"/>
  <c r="J44" i="1"/>
  <c r="J45" i="1"/>
  <c r="J46" i="1"/>
  <c r="P46" i="1" s="1"/>
  <c r="J58" i="1"/>
  <c r="J67" i="1"/>
  <c r="J68" i="1"/>
  <c r="J69" i="1"/>
  <c r="J70" i="1"/>
  <c r="J72" i="1"/>
  <c r="J73" i="1"/>
  <c r="J96" i="1"/>
  <c r="J97" i="1"/>
  <c r="J98" i="1"/>
  <c r="J101" i="1"/>
  <c r="J102" i="1"/>
  <c r="P102" i="1" s="1"/>
  <c r="J103" i="1"/>
  <c r="J104" i="1"/>
  <c r="J105" i="1"/>
  <c r="E30" i="1"/>
  <c r="E27" i="1"/>
  <c r="E21" i="1"/>
  <c r="E57" i="1"/>
  <c r="E103" i="1"/>
  <c r="P103" i="1" s="1"/>
  <c r="E104" i="1"/>
  <c r="P104" i="1" s="1"/>
  <c r="E101" i="1"/>
  <c r="G97" i="1"/>
  <c r="G96" i="1" s="1"/>
  <c r="H97" i="1"/>
  <c r="H96" i="1" s="1"/>
  <c r="I97" i="1"/>
  <c r="I96" i="1" s="1"/>
  <c r="G100" i="1"/>
  <c r="G99" i="1" s="1"/>
  <c r="E98" i="1"/>
  <c r="E97" i="1" s="1"/>
  <c r="E96" i="1" s="1"/>
  <c r="E44" i="1"/>
  <c r="E45" i="1"/>
  <c r="G15" i="1"/>
  <c r="I15" i="1"/>
  <c r="K15" i="1"/>
  <c r="L15" i="1"/>
  <c r="M15" i="1"/>
  <c r="N15" i="1"/>
  <c r="O15" i="1"/>
  <c r="E20" i="1"/>
  <c r="E68" i="1"/>
  <c r="E69" i="1"/>
  <c r="E70" i="1"/>
  <c r="E72" i="1"/>
  <c r="E73" i="1"/>
  <c r="E67" i="1"/>
  <c r="E58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0" i="1"/>
  <c r="O99" i="1" s="1"/>
  <c r="N100" i="1"/>
  <c r="N99" i="1" s="1"/>
  <c r="M100" i="1"/>
  <c r="M99" i="1" s="1"/>
  <c r="L100" i="1"/>
  <c r="L99" i="1" s="1"/>
  <c r="K100" i="1"/>
  <c r="K99" i="1" s="1"/>
  <c r="I100" i="1"/>
  <c r="I99" i="1" s="1"/>
  <c r="H100" i="1"/>
  <c r="H99" i="1" s="1"/>
  <c r="J100" i="1"/>
  <c r="H16" i="1" l="1"/>
  <c r="H15" i="1" s="1"/>
  <c r="P57" i="1"/>
  <c r="P101" i="1"/>
  <c r="P27" i="1"/>
  <c r="F15" i="1"/>
  <c r="P20" i="1"/>
  <c r="P17" i="1"/>
  <c r="E38" i="1"/>
  <c r="E16" i="1" s="1"/>
  <c r="P76" i="1"/>
  <c r="P21" i="1"/>
  <c r="P24" i="1"/>
  <c r="P72" i="1"/>
  <c r="P23" i="1"/>
  <c r="P97" i="1"/>
  <c r="P29" i="1"/>
  <c r="P33" i="1"/>
  <c r="P45" i="1"/>
  <c r="P35" i="1"/>
  <c r="P31" i="1"/>
  <c r="P39" i="1"/>
  <c r="P67" i="1"/>
  <c r="P44" i="1"/>
  <c r="P70" i="1"/>
  <c r="P26" i="1"/>
  <c r="P37" i="1"/>
  <c r="P22" i="1"/>
  <c r="P34" i="1"/>
  <c r="P58" i="1"/>
  <c r="P98" i="1"/>
  <c r="P68" i="1"/>
  <c r="P36" i="1"/>
  <c r="P73" i="1"/>
  <c r="P25" i="1"/>
  <c r="P28" i="1"/>
  <c r="P32" i="1"/>
  <c r="P96" i="1"/>
  <c r="P69" i="1"/>
  <c r="P30" i="1"/>
  <c r="P40" i="1"/>
  <c r="P105" i="1"/>
  <c r="E100" i="1"/>
  <c r="J99" i="1"/>
  <c r="F100" i="1"/>
  <c r="F99" i="1" s="1"/>
  <c r="P16" i="1" l="1"/>
  <c r="P15" i="1" s="1"/>
  <c r="P38" i="1"/>
  <c r="E15" i="1"/>
  <c r="P100" i="1"/>
  <c r="E99" i="1"/>
  <c r="P99" i="1" l="1"/>
  <c r="I54" i="1" l="1"/>
  <c r="I106" i="1" s="1"/>
  <c r="N54" i="1"/>
  <c r="N106" i="1" s="1"/>
  <c r="O54" i="1"/>
  <c r="O106" i="1" s="1"/>
  <c r="M54" i="1"/>
  <c r="M106" i="1" s="1"/>
  <c r="G54" i="1"/>
  <c r="G106" i="1" s="1"/>
  <c r="H54" i="1"/>
  <c r="H106" i="1" s="1"/>
  <c r="K54" i="1"/>
  <c r="K106" i="1" s="1"/>
  <c r="F54" i="1"/>
  <c r="F106" i="1" s="1"/>
  <c r="L54" i="1"/>
  <c r="E56" i="1"/>
  <c r="E55" i="1" s="1"/>
  <c r="E54" i="1" l="1"/>
  <c r="P56" i="1"/>
  <c r="J54" i="1"/>
  <c r="J106" i="1" s="1"/>
  <c r="L106" i="1"/>
  <c r="P55" i="1" l="1"/>
  <c r="E106" i="1"/>
  <c r="P54" i="1"/>
  <c r="P106" i="1" s="1"/>
</calcChain>
</file>

<file path=xl/sharedStrings.xml><?xml version="1.0" encoding="utf-8"?>
<sst xmlns="http://schemas.openxmlformats.org/spreadsheetml/2006/main" count="284" uniqueCount="210">
  <si>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</si>
  <si>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</si>
  <si>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</si>
  <si>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</si>
  <si>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</si>
  <si>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</si>
  <si>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</si>
  <si>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</si>
  <si>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</si>
  <si>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</si>
  <si>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</si>
  <si>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</si>
  <si>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</si>
  <si>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</si>
  <si>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</si>
  <si>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</si>
  <si>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</si>
  <si>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</si>
  <si>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</si>
  <si>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</si>
  <si>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</si>
  <si>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</si>
  <si>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</si>
  <si>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</si>
  <si>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</si>
  <si>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</si>
  <si>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</si>
  <si>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</si>
  <si>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</si>
  <si>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</si>
  <si>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</si>
  <si>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</si>
  <si>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</si>
  <si>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</si>
  <si>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</si>
  <si>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</si>
  <si>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</si>
  <si>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</si>
  <si>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</si>
  <si>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</si>
  <si>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</si>
  <si>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</si>
  <si>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</si>
  <si>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</si>
  <si>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</si>
  <si>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</si>
  <si>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</si>
  <si>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</si>
  <si>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</si>
  <si>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</si>
  <si>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</si>
  <si>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</si>
  <si>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</si>
  <si>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</si>
  <si>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</si>
  <si>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</si>
  <si>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</si>
  <si>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</si>
  <si>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</si>
  <si>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</si>
  <si>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</si>
  <si>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</si>
  <si>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</si>
  <si>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</si>
  <si>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</si>
  <si>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</si>
  <si>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</si>
  <si>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</si>
  <si>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</si>
  <si>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</si>
  <si>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</si>
  <si>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</si>
  <si>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</si>
  <si>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</si>
  <si>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</si>
  <si>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</si>
  <si>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</si>
  <si>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</si>
  <si>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</si>
  <si>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</si>
  <si>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</si>
  <si>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</si>
  <si>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</si>
  <si>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</si>
  <si>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</si>
  <si>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</si>
  <si>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</si>
  <si>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</si>
  <si>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</si>
  <si>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</si>
  <si>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</si>
  <si>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</si>
  <si>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</si>
  <si>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</si>
  <si>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</si>
  <si>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</si>
  <si>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</si>
  <si>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</si>
  <si>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</si>
  <si>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</si>
  <si>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</si>
  <si>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</si>
  <si>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</si>
  <si>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</si>
  <si>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</si>
  <si>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</si>
  <si>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</si>
  <si>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</si>
  <si>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</si>
  <si>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</si>
  <si>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</si>
  <si>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</si>
  <si>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</si>
  <si>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</si>
  <si>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</si>
  <si>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</si>
  <si>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</si>
  <si>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</si>
  <si>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</si>
  <si>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</si>
  <si>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</si>
  <si>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</si>
  <si>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</si>
  <si>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</si>
  <si>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</si>
  <si>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</si>
  <si>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</si>
  <si>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</si>
  <si>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</si>
  <si>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</si>
  <si>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</si>
  <si>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</si>
  <si>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</si>
  <si>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</si>
  <si>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</si>
  <si>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</si>
  <si>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</si>
  <si>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</si>
  <si>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</si>
  <si>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</si>
  <si>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</si>
  <si>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</si>
  <si>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</si>
  <si>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</si>
  <si>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</si>
  <si>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</si>
  <si>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</si>
  <si>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</si>
  <si>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</si>
  <si>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</si>
  <si>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</si>
  <si>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</si>
  <si>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</si>
  <si>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</si>
  <si>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</si>
  <si>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</si>
  <si>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</si>
  <si>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</si>
  <si>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</si>
  <si>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</si>
  <si>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</si>
  <si>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</si>
  <si>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</si>
  <si>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</si>
  <si>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</si>
  <si>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</si>
  <si>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</si>
  <si>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</si>
  <si>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</si>
  <si>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</si>
  <si>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</si>
  <si>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</si>
  <si>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</si>
  <si>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</si>
  <si>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</si>
  <si>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</si>
  <si>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</si>
  <si>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</si>
  <si>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</si>
  <si>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</si>
  <si>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</si>
  <si>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</si>
  <si>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</si>
  <si>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</si>
  <si>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</si>
  <si>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</si>
  <si>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</si>
  <si>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</si>
  <si>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</si>
  <si>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</si>
  <si>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</si>
  <si>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</si>
  <si>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</si>
  <si>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</si>
  <si>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</si>
  <si>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</si>
  <si>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</si>
  <si>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</si>
  <si>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</si>
  <si>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</si>
  <si>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</si>
  <si>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</si>
  <si>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</si>
  <si>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</si>
  <si>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</si>
  <si>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</si>
  <si>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</si>
  <si>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</si>
  <si>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</si>
  <si>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від 07.09.2021р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</si>
</sst>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9"/>
  <sheetViews>
    <sheetView tabSelected="1" topLeftCell="A90" workbookViewId="0">
      <selection activeCell="T50" sqref="T50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7" t="s">
        <v>161</v>
      </c>
      <c r="N4" s="67"/>
      <c r="O4" s="67"/>
      <c r="P4" s="67"/>
    </row>
    <row r="5" spans="1:16" x14ac:dyDescent="0.25">
      <c r="M5" s="60" t="s">
        <v>209</v>
      </c>
    </row>
    <row r="6" spans="1:16" x14ac:dyDescent="0.25">
      <c r="A6" s="68" t="s">
        <v>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x14ac:dyDescent="0.2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x14ac:dyDescent="0.25">
      <c r="A8" s="32">
        <v>14555000000</v>
      </c>
      <c r="B8" s="1"/>
      <c r="C8" s="1"/>
      <c r="D8" s="1"/>
      <c r="E8" s="1"/>
      <c r="F8" s="1"/>
      <c r="G8" s="70">
        <v>14555000000</v>
      </c>
      <c r="H8" s="70"/>
      <c r="I8" s="70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1" t="s">
        <v>3</v>
      </c>
      <c r="H9" s="71"/>
      <c r="I9" s="71"/>
      <c r="P9" s="3" t="s">
        <v>4</v>
      </c>
    </row>
    <row r="10" spans="1:16" x14ac:dyDescent="0.25">
      <c r="A10" s="72" t="s">
        <v>5</v>
      </c>
      <c r="B10" s="72" t="s">
        <v>6</v>
      </c>
      <c r="C10" s="72" t="s">
        <v>7</v>
      </c>
      <c r="D10" s="66" t="s">
        <v>8</v>
      </c>
      <c r="E10" s="66" t="s">
        <v>9</v>
      </c>
      <c r="F10" s="66"/>
      <c r="G10" s="66"/>
      <c r="H10" s="66"/>
      <c r="I10" s="66"/>
      <c r="J10" s="66" t="s">
        <v>10</v>
      </c>
      <c r="K10" s="66"/>
      <c r="L10" s="66"/>
      <c r="M10" s="66"/>
      <c r="N10" s="66"/>
      <c r="O10" s="66"/>
      <c r="P10" s="65" t="s">
        <v>11</v>
      </c>
    </row>
    <row r="11" spans="1:16" x14ac:dyDescent="0.25">
      <c r="A11" s="66"/>
      <c r="B11" s="66"/>
      <c r="C11" s="66"/>
      <c r="D11" s="66"/>
      <c r="E11" s="65" t="s">
        <v>12</v>
      </c>
      <c r="F11" s="66" t="s">
        <v>13</v>
      </c>
      <c r="G11" s="66" t="s">
        <v>14</v>
      </c>
      <c r="H11" s="66"/>
      <c r="I11" s="66" t="s">
        <v>15</v>
      </c>
      <c r="J11" s="65" t="s">
        <v>12</v>
      </c>
      <c r="K11" s="66" t="s">
        <v>16</v>
      </c>
      <c r="L11" s="66" t="s">
        <v>13</v>
      </c>
      <c r="M11" s="66" t="s">
        <v>14</v>
      </c>
      <c r="N11" s="66"/>
      <c r="O11" s="66" t="s">
        <v>15</v>
      </c>
      <c r="P11" s="66"/>
    </row>
    <row r="12" spans="1:16" x14ac:dyDescent="0.25">
      <c r="A12" s="66"/>
      <c r="B12" s="66"/>
      <c r="C12" s="66"/>
      <c r="D12" s="66"/>
      <c r="E12" s="66"/>
      <c r="F12" s="66"/>
      <c r="G12" s="66" t="s">
        <v>17</v>
      </c>
      <c r="H12" s="66" t="s">
        <v>18</v>
      </c>
      <c r="I12" s="66"/>
      <c r="J12" s="66"/>
      <c r="K12" s="66"/>
      <c r="L12" s="66"/>
      <c r="M12" s="66" t="s">
        <v>17</v>
      </c>
      <c r="N12" s="66" t="s">
        <v>18</v>
      </c>
      <c r="O12" s="66"/>
      <c r="P12" s="66"/>
    </row>
    <row r="13" spans="1:16" ht="24.75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14828964</v>
      </c>
      <c r="F15" s="9">
        <f t="shared" ref="F15:O15" si="0">F16</f>
        <v>14828964</v>
      </c>
      <c r="G15" s="9">
        <f t="shared" si="0"/>
        <v>8638782</v>
      </c>
      <c r="H15" s="9">
        <f t="shared" si="0"/>
        <v>923010</v>
      </c>
      <c r="I15" s="9">
        <f t="shared" si="0"/>
        <v>0</v>
      </c>
      <c r="J15" s="9">
        <f>J16</f>
        <v>5326082</v>
      </c>
      <c r="K15" s="9">
        <f t="shared" si="0"/>
        <v>4462434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5147582</v>
      </c>
      <c r="P15" s="9">
        <f>P16</f>
        <v>20155046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14828964</v>
      </c>
      <c r="F16" s="9">
        <f>F17+F20+F21+F22+F23+F25+F27+F28+F30+F31+F34+F35+F37+F38+F39+F40+F41+F42+F44+F45+F46+F47+F18+F43+F19+F52+F51+F53</f>
        <v>14828964</v>
      </c>
      <c r="G16" s="9">
        <f t="shared" ref="G16:N16" si="1">G17+G20+G21+G22+G23+G25+G27+G28+G30+G31+G34+G35+G37+G38+G39+G40+G41+G42+G44+G45+G46+G47+G18+G43+G19+G52</f>
        <v>8638782</v>
      </c>
      <c r="H16" s="9">
        <f t="shared" si="1"/>
        <v>923010</v>
      </c>
      <c r="I16" s="9">
        <f t="shared" si="1"/>
        <v>0</v>
      </c>
      <c r="J16" s="9">
        <f>L16+O16</f>
        <v>5326082</v>
      </c>
      <c r="K16" s="9">
        <f>K17+K20+K21+K22+K23+K25+K27+K28+K30+K31+K34+K35+K37+K38+K39+K40+K41+K42+K44+K45+K46+K47+K18+K43+K19+K52+K49+K50+K51</f>
        <v>4462434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5147582</v>
      </c>
      <c r="P16" s="9">
        <f>E16+J16</f>
        <v>20155046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9216698</v>
      </c>
      <c r="F17" s="48">
        <f>9622673-10000-404064-1823611+8000+48000-2500+20000+1220000+268000+224000+46200</f>
        <v>9216698</v>
      </c>
      <c r="G17" s="24">
        <f>7478100-331200-1495000-2050+1220000</f>
        <v>6869850</v>
      </c>
      <c r="H17" s="24">
        <f>162000+8000+60+62000</f>
        <v>232060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9836598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f>10000+40000+50000</f>
        <v>100000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45000</v>
      </c>
      <c r="F19" s="48">
        <v>45000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45000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2039467</v>
      </c>
      <c r="F20" s="39">
        <f>2019467+20000</f>
        <v>2039467</v>
      </c>
      <c r="G20" s="24">
        <v>1496882</v>
      </c>
      <c r="H20" s="24">
        <v>70950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2039467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265467</v>
      </c>
      <c r="F22" s="39">
        <f>2500+116567+146400</f>
        <v>265467</v>
      </c>
      <c r="G22" s="24">
        <f>2050+95547+120000</f>
        <v>217597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265467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150000</v>
      </c>
      <c r="F38" s="39">
        <f>200000-50000-50000+50000</f>
        <v>150000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150000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1381054</v>
      </c>
      <c r="F39" s="39">
        <f>1174824-99578+95160-50000-75000-116567+500000-16700-7800-3200-35380-16600-50000-22105-30000+85000+49000</f>
        <v>1381054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1396054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182700</v>
      </c>
      <c r="F40" s="39">
        <f>200000-40000-147100+3200+16600+30000+120000</f>
        <v>182700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867848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5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260000</v>
      </c>
      <c r="F51" s="39">
        <f>200000+50000+10000</f>
        <v>260000</v>
      </c>
      <c r="G51" s="24"/>
      <c r="H51" s="24"/>
      <c r="I51" s="24"/>
      <c r="J51" s="23">
        <f t="shared" si="5"/>
        <v>330000</v>
      </c>
      <c r="K51" s="24">
        <f>250000+30000+50000</f>
        <v>330000</v>
      </c>
      <c r="L51" s="24"/>
      <c r="M51" s="24"/>
      <c r="N51" s="24"/>
      <c r="O51" s="24">
        <f>250000+30000+50000</f>
        <v>330000</v>
      </c>
      <c r="P51" s="23">
        <f t="shared" si="3"/>
        <v>590000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37769573</v>
      </c>
      <c r="F54" s="43">
        <f t="shared" ref="F54:O54" si="6">F55</f>
        <v>37769573</v>
      </c>
      <c r="G54" s="9">
        <f t="shared" si="6"/>
        <v>27231529</v>
      </c>
      <c r="H54" s="9">
        <f t="shared" si="6"/>
        <v>1908000</v>
      </c>
      <c r="I54" s="9">
        <f t="shared" si="6"/>
        <v>0</v>
      </c>
      <c r="J54" s="23">
        <f t="shared" si="5"/>
        <v>4960563</v>
      </c>
      <c r="K54" s="9">
        <f t="shared" si="6"/>
        <v>4173780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4173780</v>
      </c>
      <c r="P54" s="9">
        <f>E54+J54</f>
        <v>42730136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E56+E57+E68+E69+E70+E72+E73+E67+E65+E66+E76+E63+E74+E75+E64+E62+E71</f>
        <v>37769573</v>
      </c>
      <c r="F55" s="9">
        <f>F56+F57+F68+F69+F70+F72+F73+F67+F65+F66+F76+F63+F74+F75+F64+F62+F71</f>
        <v>37769573</v>
      </c>
      <c r="G55" s="9">
        <f t="shared" ref="G55:I55" si="7">G56+G57+G68+G69+G70+G72+G73+G67+G65+G66+G76+G63+G74+G75</f>
        <v>27231529</v>
      </c>
      <c r="H55" s="9">
        <f t="shared" si="7"/>
        <v>1908000</v>
      </c>
      <c r="I55" s="9">
        <f t="shared" si="7"/>
        <v>0</v>
      </c>
      <c r="J55" s="9">
        <f>J56+J57+J68+J69+J70+J72+J73+J67+J65+J66+J76+J63+J74+J75+J64+J62</f>
        <v>4960563</v>
      </c>
      <c r="K55" s="9">
        <f>K56+K57+K68+K69+K70+K72+K73+K67+K65+K66+K76+K63+K74+K75+K64+K62</f>
        <v>4173780</v>
      </c>
      <c r="L55" s="9">
        <f t="shared" ref="L55:O55" si="8">L56+L57+L68+L69+L70+L72+L73+L67+L65+L66+L76+L63+L74+L75+L64+L62</f>
        <v>786783</v>
      </c>
      <c r="M55" s="9">
        <f t="shared" si="8"/>
        <v>0</v>
      </c>
      <c r="N55" s="9">
        <f t="shared" si="8"/>
        <v>0</v>
      </c>
      <c r="O55" s="9">
        <f t="shared" si="8"/>
        <v>4173780</v>
      </c>
      <c r="P55" s="9">
        <f>E55+J55</f>
        <v>42730136</v>
      </c>
      <c r="R55" s="18"/>
    </row>
    <row r="56" spans="1:18" x14ac:dyDescent="0.25">
      <c r="A56" s="51" t="s">
        <v>97</v>
      </c>
      <c r="B56" s="20" t="s">
        <v>42</v>
      </c>
      <c r="C56" s="21" t="s">
        <v>98</v>
      </c>
      <c r="D56" s="22" t="s">
        <v>99</v>
      </c>
      <c r="E56" s="23">
        <f>F56+I56</f>
        <v>5324000</v>
      </c>
      <c r="F56" s="39">
        <f>4804153+107000+57747+26000-100000+59000+31800+278000+1000+50000+5800+2500+1000</f>
        <v>5324000</v>
      </c>
      <c r="G56" s="24">
        <f>3401100+107000+130000</f>
        <v>3638100</v>
      </c>
      <c r="H56" s="24">
        <f>324000+8000</f>
        <v>332000</v>
      </c>
      <c r="I56" s="24">
        <v>0</v>
      </c>
      <c r="J56" s="23">
        <f t="shared" si="5"/>
        <v>244000</v>
      </c>
      <c r="K56" s="24">
        <f>15000+70000</f>
        <v>85000</v>
      </c>
      <c r="L56" s="24">
        <v>159000</v>
      </c>
      <c r="M56" s="24">
        <v>0</v>
      </c>
      <c r="N56" s="24">
        <v>0</v>
      </c>
      <c r="O56" s="24">
        <f>15000+70000</f>
        <v>85000</v>
      </c>
      <c r="P56" s="23">
        <f>E56+J56</f>
        <v>5568000</v>
      </c>
    </row>
    <row r="57" spans="1:18" ht="30.75" customHeight="1" x14ac:dyDescent="0.25">
      <c r="A57" s="57" t="s">
        <v>100</v>
      </c>
      <c r="B57" s="20">
        <v>1021</v>
      </c>
      <c r="C57" s="21" t="s">
        <v>101</v>
      </c>
      <c r="D57" s="22" t="s">
        <v>102</v>
      </c>
      <c r="E57" s="23">
        <f>F57+I57</f>
        <v>9109904</v>
      </c>
      <c r="F57" s="39">
        <f>9154200+100000+70000-50000- 210350+25580+122274+13000+19259+13500+15000+8000-319000+150000+53000-68759+6200+8000</f>
        <v>9109904</v>
      </c>
      <c r="G57" s="24">
        <f>5500000-260000</f>
        <v>5240000</v>
      </c>
      <c r="H57" s="24">
        <f>1492000+4500+17700</f>
        <v>1514200</v>
      </c>
      <c r="I57" s="24">
        <v>0</v>
      </c>
      <c r="J57" s="23">
        <f>L57+O57</f>
        <v>927783</v>
      </c>
      <c r="K57" s="24">
        <f>250000+99000+8000+50000-99000-8000</f>
        <v>300000</v>
      </c>
      <c r="L57" s="24">
        <v>627783</v>
      </c>
      <c r="M57" s="24">
        <f t="shared" ref="M57:N57" si="9">M59+M60+M61</f>
        <v>0</v>
      </c>
      <c r="N57" s="24">
        <f t="shared" si="9"/>
        <v>0</v>
      </c>
      <c r="O57" s="24">
        <f>250000+99000+8000+50000-99000-8000</f>
        <v>300000</v>
      </c>
      <c r="P57" s="23">
        <f>E57+J57</f>
        <v>10037687</v>
      </c>
      <c r="R57" s="18"/>
    </row>
    <row r="58" spans="1:18" ht="66.75" customHeight="1" x14ac:dyDescent="0.25">
      <c r="A58" s="58"/>
      <c r="B58" s="10"/>
      <c r="C58" s="11"/>
      <c r="D58" s="12" t="s">
        <v>103</v>
      </c>
      <c r="E58" s="23">
        <f t="shared" ref="E58:E98" si="10">F58+I58</f>
        <v>999200</v>
      </c>
      <c r="F58" s="42">
        <v>999200</v>
      </c>
      <c r="G58" s="13"/>
      <c r="H58" s="13">
        <v>999200</v>
      </c>
      <c r="I58" s="13"/>
      <c r="J58" s="23">
        <f t="shared" si="5"/>
        <v>0</v>
      </c>
      <c r="K58" s="13"/>
      <c r="L58" s="13"/>
      <c r="M58" s="13"/>
      <c r="N58" s="13"/>
      <c r="O58" s="13"/>
      <c r="P58" s="23">
        <f t="shared" ref="P58:P76" si="11">E58+J58</f>
        <v>999200</v>
      </c>
      <c r="R58" s="18"/>
    </row>
    <row r="59" spans="1:18" ht="56.25" hidden="1" customHeight="1" x14ac:dyDescent="0.25">
      <c r="A59" s="52"/>
      <c r="B59" s="10"/>
      <c r="C59" s="11"/>
      <c r="D59" s="12"/>
      <c r="E59" s="23">
        <f t="shared" si="10"/>
        <v>0</v>
      </c>
      <c r="F59" s="42"/>
      <c r="G59" s="13"/>
      <c r="H59" s="13"/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si="11"/>
        <v>0</v>
      </c>
    </row>
    <row r="60" spans="1:18" ht="56.25" customHeight="1" x14ac:dyDescent="0.25">
      <c r="A60" s="52"/>
      <c r="B60" s="10"/>
      <c r="C60" s="11"/>
      <c r="D60" s="12" t="s">
        <v>189</v>
      </c>
      <c r="E60" s="23">
        <f t="shared" si="10"/>
        <v>0</v>
      </c>
      <c r="F60" s="42"/>
      <c r="G60" s="13"/>
      <c r="H60" s="13"/>
      <c r="I60" s="13"/>
      <c r="J60" s="23">
        <f t="shared" si="5"/>
        <v>250000</v>
      </c>
      <c r="K60" s="13">
        <v>250000</v>
      </c>
      <c r="L60" s="13"/>
      <c r="M60" s="13"/>
      <c r="N60" s="13"/>
      <c r="O60" s="13">
        <v>250000</v>
      </c>
      <c r="P60" s="23">
        <f t="shared" si="11"/>
        <v>250000</v>
      </c>
    </row>
    <row r="61" spans="1:18" ht="56.25" customHeight="1" x14ac:dyDescent="0.25">
      <c r="A61" s="52"/>
      <c r="B61" s="10"/>
      <c r="C61" s="11"/>
      <c r="D61" s="12" t="s">
        <v>191</v>
      </c>
      <c r="E61" s="23">
        <f t="shared" si="10"/>
        <v>0</v>
      </c>
      <c r="F61" s="42">
        <f>13000+19259+13500+15000+8000-68759</f>
        <v>0</v>
      </c>
      <c r="G61" s="13"/>
      <c r="H61" s="13"/>
      <c r="I61" s="13"/>
      <c r="J61" s="23">
        <f t="shared" si="5"/>
        <v>0</v>
      </c>
      <c r="K61" s="13">
        <f>54000+45000-99000</f>
        <v>0</v>
      </c>
      <c r="L61" s="13"/>
      <c r="M61" s="13"/>
      <c r="N61" s="13"/>
      <c r="O61" s="13">
        <f>54000+45000-99000</f>
        <v>0</v>
      </c>
      <c r="P61" s="23">
        <f t="shared" si="11"/>
        <v>0</v>
      </c>
    </row>
    <row r="62" spans="1:18" ht="56.25" customHeight="1" x14ac:dyDescent="0.25">
      <c r="A62" s="64" t="s">
        <v>205</v>
      </c>
      <c r="B62" s="10">
        <v>1061</v>
      </c>
      <c r="C62" s="61" t="s">
        <v>101</v>
      </c>
      <c r="D62" s="22" t="s">
        <v>102</v>
      </c>
      <c r="E62" s="23">
        <f t="shared" si="10"/>
        <v>113171</v>
      </c>
      <c r="F62" s="42">
        <f>103171+10000</f>
        <v>113171</v>
      </c>
      <c r="G62" s="13"/>
      <c r="H62" s="13"/>
      <c r="I62" s="13"/>
      <c r="J62" s="23">
        <f t="shared" si="5"/>
        <v>71088</v>
      </c>
      <c r="K62" s="13">
        <v>71088</v>
      </c>
      <c r="L62" s="13"/>
      <c r="M62" s="13"/>
      <c r="N62" s="13"/>
      <c r="O62" s="13">
        <v>71088</v>
      </c>
      <c r="P62" s="23">
        <f>E62+J62</f>
        <v>184259</v>
      </c>
    </row>
    <row r="63" spans="1:18" ht="62.25" customHeight="1" x14ac:dyDescent="0.25">
      <c r="A63" s="57" t="s">
        <v>199</v>
      </c>
      <c r="B63" s="20">
        <v>1181</v>
      </c>
      <c r="C63" s="25" t="s">
        <v>106</v>
      </c>
      <c r="D63" s="22" t="s">
        <v>200</v>
      </c>
      <c r="E63" s="23">
        <f t="shared" si="10"/>
        <v>0</v>
      </c>
      <c r="F63" s="42">
        <f>17207+11560-28767</f>
        <v>0</v>
      </c>
      <c r="G63" s="13"/>
      <c r="H63" s="13"/>
      <c r="I63" s="13"/>
      <c r="J63" s="23">
        <f t="shared" si="5"/>
        <v>28937</v>
      </c>
      <c r="K63" s="13">
        <f>28767+170</f>
        <v>28937</v>
      </c>
      <c r="L63" s="13"/>
      <c r="M63" s="13"/>
      <c r="N63" s="13"/>
      <c r="O63" s="13">
        <v>28937</v>
      </c>
      <c r="P63" s="23">
        <f t="shared" si="11"/>
        <v>28937</v>
      </c>
    </row>
    <row r="64" spans="1:18" ht="62.25" customHeight="1" x14ac:dyDescent="0.25">
      <c r="A64" s="57"/>
      <c r="B64" s="20">
        <v>1182</v>
      </c>
      <c r="C64" s="25" t="s">
        <v>106</v>
      </c>
      <c r="D64" s="22" t="s">
        <v>201</v>
      </c>
      <c r="E64" s="23">
        <f t="shared" si="10"/>
        <v>72734</v>
      </c>
      <c r="F64" s="42">
        <v>72734</v>
      </c>
      <c r="G64" s="13"/>
      <c r="H64" s="13"/>
      <c r="I64" s="13"/>
      <c r="J64" s="23">
        <f t="shared" si="5"/>
        <v>260432</v>
      </c>
      <c r="K64" s="13">
        <v>260432</v>
      </c>
      <c r="L64" s="13"/>
      <c r="M64" s="13"/>
      <c r="N64" s="13"/>
      <c r="O64" s="13">
        <v>260432</v>
      </c>
      <c r="P64" s="23">
        <f t="shared" si="11"/>
        <v>333166</v>
      </c>
    </row>
    <row r="65" spans="1:16" ht="56.25" customHeight="1" x14ac:dyDescent="0.25">
      <c r="A65" s="57" t="s">
        <v>154</v>
      </c>
      <c r="B65" s="20">
        <v>1200</v>
      </c>
      <c r="C65" s="25" t="s">
        <v>106</v>
      </c>
      <c r="D65" s="22" t="s">
        <v>155</v>
      </c>
      <c r="E65" s="23">
        <f t="shared" si="10"/>
        <v>35224</v>
      </c>
      <c r="F65" s="42">
        <f>35224</f>
        <v>35224</v>
      </c>
      <c r="G65" s="13"/>
      <c r="H65" s="13"/>
      <c r="I65" s="13"/>
      <c r="J65" s="23">
        <f t="shared" si="5"/>
        <v>17874</v>
      </c>
      <c r="K65" s="13">
        <f>17874</f>
        <v>17874</v>
      </c>
      <c r="L65" s="13"/>
      <c r="M65" s="13"/>
      <c r="N65" s="13"/>
      <c r="O65" s="13">
        <f>17874</f>
        <v>17874</v>
      </c>
      <c r="P65" s="23">
        <f t="shared" si="11"/>
        <v>53098</v>
      </c>
    </row>
    <row r="66" spans="1:16" ht="56.25" customHeight="1" x14ac:dyDescent="0.25">
      <c r="A66" s="53" t="s">
        <v>174</v>
      </c>
      <c r="B66" s="20">
        <v>1210</v>
      </c>
      <c r="C66" s="46" t="s">
        <v>106</v>
      </c>
      <c r="D66" s="22" t="s">
        <v>173</v>
      </c>
      <c r="E66" s="23">
        <f t="shared" si="10"/>
        <v>20052</v>
      </c>
      <c r="F66" s="42">
        <v>20052</v>
      </c>
      <c r="G66" s="13"/>
      <c r="H66" s="13"/>
      <c r="I66" s="13"/>
      <c r="J66" s="23">
        <f t="shared" si="5"/>
        <v>16646</v>
      </c>
      <c r="K66" s="13">
        <v>16646</v>
      </c>
      <c r="L66" s="13"/>
      <c r="M66" s="13"/>
      <c r="N66" s="13"/>
      <c r="O66" s="13">
        <v>16646</v>
      </c>
      <c r="P66" s="23">
        <f t="shared" si="11"/>
        <v>36698</v>
      </c>
    </row>
    <row r="67" spans="1:16" ht="27.75" customHeight="1" x14ac:dyDescent="0.25">
      <c r="A67" s="57" t="s">
        <v>104</v>
      </c>
      <c r="B67" s="20">
        <v>1031</v>
      </c>
      <c r="C67" s="21" t="s">
        <v>101</v>
      </c>
      <c r="D67" s="22" t="s">
        <v>138</v>
      </c>
      <c r="E67" s="23">
        <f t="shared" si="10"/>
        <v>20259200</v>
      </c>
      <c r="F67" s="39">
        <v>20259200</v>
      </c>
      <c r="G67" s="24">
        <v>16600000</v>
      </c>
      <c r="H67" s="24"/>
      <c r="I67" s="24"/>
      <c r="J67" s="23">
        <f t="shared" si="5"/>
        <v>0</v>
      </c>
      <c r="K67" s="24"/>
      <c r="L67" s="24"/>
      <c r="M67" s="24"/>
      <c r="N67" s="24"/>
      <c r="O67" s="24"/>
      <c r="P67" s="23">
        <f t="shared" si="11"/>
        <v>20259200</v>
      </c>
    </row>
    <row r="68" spans="1:16" ht="46.5" hidden="1" customHeight="1" x14ac:dyDescent="0.25">
      <c r="A68" s="51"/>
      <c r="B68" s="20"/>
      <c r="C68" s="21"/>
      <c r="D68" s="22"/>
      <c r="E68" s="23">
        <f t="shared" si="10"/>
        <v>0</v>
      </c>
      <c r="F68" s="39"/>
      <c r="G68" s="24"/>
      <c r="H68" s="24"/>
      <c r="I68" s="24">
        <v>0</v>
      </c>
      <c r="J68" s="23">
        <f t="shared" si="5"/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3">
        <f t="shared" si="11"/>
        <v>0</v>
      </c>
    </row>
    <row r="69" spans="1:16" hidden="1" x14ac:dyDescent="0.25">
      <c r="A69" s="51"/>
      <c r="B69" s="20"/>
      <c r="C69" s="21"/>
      <c r="D69" s="22"/>
      <c r="E69" s="23">
        <f t="shared" si="10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/>
      <c r="M69" s="24">
        <v>0</v>
      </c>
      <c r="N69" s="24">
        <v>0</v>
      </c>
      <c r="O69" s="24">
        <v>0</v>
      </c>
      <c r="P69" s="23">
        <f t="shared" si="11"/>
        <v>0</v>
      </c>
    </row>
    <row r="70" spans="1:16" ht="25.5" x14ac:dyDescent="0.25">
      <c r="A70" s="51" t="s">
        <v>105</v>
      </c>
      <c r="B70" s="20">
        <v>1141</v>
      </c>
      <c r="C70" s="21" t="s">
        <v>106</v>
      </c>
      <c r="D70" s="22" t="s">
        <v>107</v>
      </c>
      <c r="E70" s="23">
        <f t="shared" si="10"/>
        <v>943213</v>
      </c>
      <c r="F70" s="39">
        <f>816213+11800+2000+73200+2500+5500+32000</f>
        <v>943213</v>
      </c>
      <c r="G70" s="24">
        <f>584601+60000</f>
        <v>644601</v>
      </c>
      <c r="H70" s="24">
        <f>33000-30000</f>
        <v>3000</v>
      </c>
      <c r="I70" s="24">
        <v>0</v>
      </c>
      <c r="J70" s="23">
        <f t="shared" si="5"/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3">
        <f t="shared" si="11"/>
        <v>943213</v>
      </c>
    </row>
    <row r="71" spans="1:16" x14ac:dyDescent="0.25">
      <c r="A71" s="57" t="s">
        <v>206</v>
      </c>
      <c r="B71" s="25" t="s">
        <v>207</v>
      </c>
      <c r="C71" s="25" t="s">
        <v>106</v>
      </c>
      <c r="D71" s="22" t="s">
        <v>208</v>
      </c>
      <c r="E71" s="23">
        <f t="shared" si="10"/>
        <v>1800</v>
      </c>
      <c r="F71" s="39">
        <v>1800</v>
      </c>
      <c r="G71" s="24"/>
      <c r="H71" s="24"/>
      <c r="I71" s="24"/>
      <c r="J71" s="23">
        <f t="shared" si="5"/>
        <v>0</v>
      </c>
      <c r="K71" s="24"/>
      <c r="L71" s="24"/>
      <c r="M71" s="24"/>
      <c r="N71" s="24"/>
      <c r="O71" s="24"/>
      <c r="P71" s="23">
        <f t="shared" si="11"/>
        <v>1800</v>
      </c>
    </row>
    <row r="72" spans="1:16" ht="21" customHeight="1" x14ac:dyDescent="0.25">
      <c r="A72" s="51" t="s">
        <v>108</v>
      </c>
      <c r="B72" s="20" t="s">
        <v>109</v>
      </c>
      <c r="C72" s="21" t="s">
        <v>110</v>
      </c>
      <c r="D72" s="22" t="s">
        <v>111</v>
      </c>
      <c r="E72" s="23">
        <f t="shared" si="10"/>
        <v>899966</v>
      </c>
      <c r="F72" s="39">
        <f>679810+140056+6600+36000+37500</f>
        <v>899966</v>
      </c>
      <c r="G72" s="24">
        <f>533820+114800+36000</f>
        <v>684620</v>
      </c>
      <c r="H72" s="24">
        <f>26750+4100</f>
        <v>30850</v>
      </c>
      <c r="I72" s="24">
        <v>0</v>
      </c>
      <c r="J72" s="23">
        <f t="shared" si="5"/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3">
        <f t="shared" si="11"/>
        <v>899966</v>
      </c>
    </row>
    <row r="73" spans="1:16" ht="41.25" customHeight="1" x14ac:dyDescent="0.25">
      <c r="A73" s="51" t="s">
        <v>112</v>
      </c>
      <c r="B73" s="20" t="s">
        <v>113</v>
      </c>
      <c r="C73" s="21" t="s">
        <v>114</v>
      </c>
      <c r="D73" s="22" t="s">
        <v>115</v>
      </c>
      <c r="E73" s="23">
        <f t="shared" si="10"/>
        <v>819104</v>
      </c>
      <c r="F73" s="39">
        <f>681004-73200-6600+98000+40000+16700+63200</f>
        <v>819104</v>
      </c>
      <c r="G73" s="24">
        <f>525208-60000-41000</f>
        <v>424208</v>
      </c>
      <c r="H73" s="24">
        <f>20250+7700</f>
        <v>27950</v>
      </c>
      <c r="I73" s="24">
        <v>0</v>
      </c>
      <c r="J73" s="23">
        <f t="shared" si="5"/>
        <v>0</v>
      </c>
      <c r="K73" s="24"/>
      <c r="L73" s="24">
        <v>0</v>
      </c>
      <c r="M73" s="24">
        <v>0</v>
      </c>
      <c r="N73" s="24">
        <v>0</v>
      </c>
      <c r="O73" s="24"/>
      <c r="P73" s="23">
        <f t="shared" si="11"/>
        <v>819104</v>
      </c>
    </row>
    <row r="74" spans="1:16" ht="41.25" customHeight="1" x14ac:dyDescent="0.25">
      <c r="A74" s="57" t="s">
        <v>198</v>
      </c>
      <c r="B74" s="20">
        <v>7321</v>
      </c>
      <c r="C74" s="25" t="s">
        <v>74</v>
      </c>
      <c r="D74" s="22" t="s">
        <v>197</v>
      </c>
      <c r="E74" s="23">
        <f t="shared" si="10"/>
        <v>0</v>
      </c>
      <c r="F74" s="39"/>
      <c r="G74" s="24"/>
      <c r="H74" s="24"/>
      <c r="I74" s="24"/>
      <c r="J74" s="23">
        <f t="shared" si="5"/>
        <v>900000</v>
      </c>
      <c r="K74" s="24">
        <v>900000</v>
      </c>
      <c r="L74" s="24"/>
      <c r="M74" s="24"/>
      <c r="N74" s="24"/>
      <c r="O74" s="24">
        <v>900000</v>
      </c>
      <c r="P74" s="23">
        <f t="shared" si="11"/>
        <v>900000</v>
      </c>
    </row>
    <row r="75" spans="1:16" ht="41.25" customHeight="1" x14ac:dyDescent="0.25">
      <c r="A75" s="57" t="s">
        <v>182</v>
      </c>
      <c r="B75" s="20">
        <v>7361</v>
      </c>
      <c r="C75" s="25" t="s">
        <v>81</v>
      </c>
      <c r="D75" s="22" t="s">
        <v>183</v>
      </c>
      <c r="E75" s="23">
        <f t="shared" si="10"/>
        <v>0</v>
      </c>
      <c r="F75" s="39"/>
      <c r="G75" s="24"/>
      <c r="H75" s="24"/>
      <c r="I75" s="24"/>
      <c r="J75" s="23">
        <f t="shared" si="5"/>
        <v>2493803</v>
      </c>
      <c r="K75" s="24">
        <f>1943803+550000</f>
        <v>2493803</v>
      </c>
      <c r="L75" s="24"/>
      <c r="M75" s="24"/>
      <c r="N75" s="24"/>
      <c r="O75" s="24">
        <f>1943803+550000</f>
        <v>2493803</v>
      </c>
      <c r="P75" s="23">
        <f t="shared" si="11"/>
        <v>2493803</v>
      </c>
    </row>
    <row r="76" spans="1:16" ht="21" customHeight="1" x14ac:dyDescent="0.25">
      <c r="A76" s="55" t="s">
        <v>186</v>
      </c>
      <c r="B76" s="34">
        <v>7370</v>
      </c>
      <c r="C76" s="41" t="s">
        <v>81</v>
      </c>
      <c r="D76" s="37" t="s">
        <v>187</v>
      </c>
      <c r="E76" s="23">
        <f t="shared" si="10"/>
        <v>171205</v>
      </c>
      <c r="F76" s="39">
        <f>99100+50000+22105</f>
        <v>171205</v>
      </c>
      <c r="G76" s="24">
        <v>0</v>
      </c>
      <c r="H76" s="24">
        <v>0</v>
      </c>
      <c r="I76" s="24">
        <v>0</v>
      </c>
      <c r="J76" s="23">
        <f>L76+O76</f>
        <v>0</v>
      </c>
      <c r="K76" s="24">
        <f>550000-550000</f>
        <v>0</v>
      </c>
      <c r="L76" s="24">
        <v>0</v>
      </c>
      <c r="M76" s="24">
        <v>0</v>
      </c>
      <c r="N76" s="24">
        <v>0</v>
      </c>
      <c r="O76" s="24">
        <f>550000-550000</f>
        <v>0</v>
      </c>
      <c r="P76" s="23">
        <f t="shared" si="11"/>
        <v>171205</v>
      </c>
    </row>
    <row r="77" spans="1:16" ht="24.75" customHeight="1" x14ac:dyDescent="0.25">
      <c r="A77" s="55" t="s">
        <v>156</v>
      </c>
      <c r="B77" s="34"/>
      <c r="C77" s="35"/>
      <c r="D77" s="45" t="s">
        <v>157</v>
      </c>
      <c r="E77" s="23">
        <f>E78</f>
        <v>1457634</v>
      </c>
      <c r="F77" s="23">
        <f t="shared" ref="F77:O77" si="12">F78</f>
        <v>1457634</v>
      </c>
      <c r="G77" s="23">
        <f t="shared" si="12"/>
        <v>298400</v>
      </c>
      <c r="H77" s="23">
        <f t="shared" si="12"/>
        <v>0</v>
      </c>
      <c r="I77" s="23">
        <f t="shared" si="12"/>
        <v>0</v>
      </c>
      <c r="J77" s="23">
        <f t="shared" si="12"/>
        <v>0</v>
      </c>
      <c r="K77" s="23">
        <f t="shared" si="12"/>
        <v>0</v>
      </c>
      <c r="L77" s="23">
        <f t="shared" si="12"/>
        <v>0</v>
      </c>
      <c r="M77" s="23">
        <f t="shared" si="12"/>
        <v>0</v>
      </c>
      <c r="N77" s="23">
        <f t="shared" si="12"/>
        <v>0</v>
      </c>
      <c r="O77" s="23">
        <f t="shared" si="12"/>
        <v>0</v>
      </c>
      <c r="P77" s="23">
        <f t="shared" ref="P77" si="13">P78</f>
        <v>1457634</v>
      </c>
    </row>
    <row r="78" spans="1:16" ht="26.25" customHeight="1" x14ac:dyDescent="0.25">
      <c r="A78" s="55" t="s">
        <v>158</v>
      </c>
      <c r="B78" s="34"/>
      <c r="C78" s="35"/>
      <c r="D78" s="45" t="s">
        <v>159</v>
      </c>
      <c r="E78" s="23">
        <f>E79+E81+E82+E83+E85+E87+E88+E90+E91+E95+E80</f>
        <v>1457634</v>
      </c>
      <c r="F78" s="23">
        <f>F79+F81+F82+F83+F85+F87+F88+F90+F91+F95+F80</f>
        <v>1457634</v>
      </c>
      <c r="G78" s="23">
        <f t="shared" ref="G78:O78" si="14">G79+G81+G82+G83+G85+G87+G88+G90+G91+G95</f>
        <v>298400</v>
      </c>
      <c r="H78" s="23">
        <f t="shared" si="14"/>
        <v>0</v>
      </c>
      <c r="I78" s="23">
        <f t="shared" si="14"/>
        <v>0</v>
      </c>
      <c r="J78" s="23">
        <f>J79+J81+J82+J83+J85+J87+J88+J90+J91+J95+J80</f>
        <v>0</v>
      </c>
      <c r="K78" s="23">
        <f>K79+K80</f>
        <v>0</v>
      </c>
      <c r="L78" s="23">
        <f t="shared" si="14"/>
        <v>0</v>
      </c>
      <c r="M78" s="23">
        <f t="shared" si="14"/>
        <v>0</v>
      </c>
      <c r="N78" s="23">
        <f t="shared" si="14"/>
        <v>0</v>
      </c>
      <c r="O78" s="23">
        <f t="shared" si="14"/>
        <v>0</v>
      </c>
      <c r="P78" s="23">
        <f>P79+P81+P82+P83+P85+P87+P88+P90+P91+P95+P80</f>
        <v>1457634</v>
      </c>
    </row>
    <row r="79" spans="1:16" ht="41.25" customHeight="1" x14ac:dyDescent="0.25">
      <c r="A79" s="55" t="s">
        <v>160</v>
      </c>
      <c r="B79" s="41" t="s">
        <v>27</v>
      </c>
      <c r="C79" s="41" t="s">
        <v>23</v>
      </c>
      <c r="D79" s="37" t="s">
        <v>120</v>
      </c>
      <c r="E79" s="23">
        <f>F79+I79</f>
        <v>385848</v>
      </c>
      <c r="F79" s="39">
        <f>539484-35136-91500+9000+4000-40000</f>
        <v>385848</v>
      </c>
      <c r="G79" s="24">
        <f>442200-28800-75000-40000</f>
        <v>298400</v>
      </c>
      <c r="H79" s="24"/>
      <c r="I79" s="24"/>
      <c r="J79" s="23">
        <f>L79+O79</f>
        <v>0</v>
      </c>
      <c r="K79" s="24"/>
      <c r="L79" s="24"/>
      <c r="M79" s="24"/>
      <c r="N79" s="24"/>
      <c r="O79" s="24"/>
      <c r="P79" s="23">
        <f>E79+J79</f>
        <v>385848</v>
      </c>
    </row>
    <row r="80" spans="1:16" ht="41.25" customHeight="1" x14ac:dyDescent="0.25">
      <c r="A80" s="49" t="s">
        <v>175</v>
      </c>
      <c r="B80" s="33" t="s">
        <v>176</v>
      </c>
      <c r="C80" s="33" t="s">
        <v>177</v>
      </c>
      <c r="D80" s="36" t="s">
        <v>178</v>
      </c>
      <c r="E80" s="23">
        <f>F80+I80</f>
        <v>794660</v>
      </c>
      <c r="F80" s="39">
        <f>316224+35136+374300+69000</f>
        <v>794660</v>
      </c>
      <c r="G80" s="24">
        <f>288000+306500+30000</f>
        <v>624500</v>
      </c>
      <c r="H80" s="24"/>
      <c r="I80" s="24"/>
      <c r="J80" s="23">
        <f>L80+O80</f>
        <v>0</v>
      </c>
      <c r="K80" s="24"/>
      <c r="L80" s="24"/>
      <c r="M80" s="24"/>
      <c r="N80" s="24"/>
      <c r="O80" s="24"/>
      <c r="P80" s="23">
        <f>E80+J80</f>
        <v>794660</v>
      </c>
    </row>
    <row r="81" spans="1:16" ht="41.25" customHeight="1" x14ac:dyDescent="0.25">
      <c r="A81" s="49" t="s">
        <v>163</v>
      </c>
      <c r="B81" s="34">
        <v>3032</v>
      </c>
      <c r="C81" s="41">
        <v>1070</v>
      </c>
      <c r="D81" s="36" t="s">
        <v>146</v>
      </c>
      <c r="E81" s="23">
        <f>F81+I81</f>
        <v>2126</v>
      </c>
      <c r="F81" s="39">
        <v>2126</v>
      </c>
      <c r="G81" s="24"/>
      <c r="H81" s="24"/>
      <c r="I81" s="24"/>
      <c r="J81" s="23">
        <f t="shared" ref="J81:J95" si="15">L81+O81</f>
        <v>0</v>
      </c>
      <c r="K81" s="24"/>
      <c r="L81" s="24"/>
      <c r="M81" s="24"/>
      <c r="N81" s="24"/>
      <c r="O81" s="24"/>
      <c r="P81" s="23">
        <f t="shared" ref="P81:P95" si="16">E81+J81</f>
        <v>2126</v>
      </c>
    </row>
    <row r="82" spans="1:16" ht="41.25" customHeight="1" x14ac:dyDescent="0.25">
      <c r="A82" s="50" t="s">
        <v>164</v>
      </c>
      <c r="B82" s="34" t="s">
        <v>28</v>
      </c>
      <c r="C82" s="35" t="s">
        <v>29</v>
      </c>
      <c r="D82" s="37" t="s">
        <v>30</v>
      </c>
      <c r="E82" s="23">
        <f t="shared" ref="E82:E95" si="17">F82+I82</f>
        <v>77000</v>
      </c>
      <c r="F82" s="39">
        <f>27000+50000</f>
        <v>77000</v>
      </c>
      <c r="G82" s="24"/>
      <c r="H82" s="24"/>
      <c r="I82" s="24"/>
      <c r="J82" s="23">
        <f t="shared" si="15"/>
        <v>0</v>
      </c>
      <c r="K82" s="24"/>
      <c r="L82" s="24"/>
      <c r="M82" s="24"/>
      <c r="N82" s="24"/>
      <c r="O82" s="24"/>
      <c r="P82" s="23">
        <f t="shared" si="16"/>
        <v>77000</v>
      </c>
    </row>
    <row r="83" spans="1:16" ht="41.25" customHeight="1" x14ac:dyDescent="0.25">
      <c r="A83" s="51" t="s">
        <v>165</v>
      </c>
      <c r="B83" s="20" t="s">
        <v>32</v>
      </c>
      <c r="C83" s="21" t="s">
        <v>29</v>
      </c>
      <c r="D83" s="22" t="s">
        <v>33</v>
      </c>
      <c r="E83" s="23">
        <f t="shared" si="17"/>
        <v>2100</v>
      </c>
      <c r="F83" s="39">
        <f>3150-1050</f>
        <v>2100</v>
      </c>
      <c r="G83" s="24"/>
      <c r="H83" s="24"/>
      <c r="I83" s="24"/>
      <c r="J83" s="23">
        <f t="shared" si="15"/>
        <v>0</v>
      </c>
      <c r="K83" s="24"/>
      <c r="L83" s="24"/>
      <c r="M83" s="24"/>
      <c r="N83" s="24"/>
      <c r="O83" s="24"/>
      <c r="P83" s="23">
        <f t="shared" si="16"/>
        <v>2100</v>
      </c>
    </row>
    <row r="84" spans="1:16" ht="52.5" customHeight="1" x14ac:dyDescent="0.25">
      <c r="A84" s="52"/>
      <c r="B84" s="10"/>
      <c r="C84" s="11"/>
      <c r="D84" s="12" t="s">
        <v>34</v>
      </c>
      <c r="E84" s="23">
        <f t="shared" si="17"/>
        <v>2100</v>
      </c>
      <c r="F84" s="42">
        <v>2100</v>
      </c>
      <c r="G84" s="24"/>
      <c r="H84" s="24"/>
      <c r="I84" s="24"/>
      <c r="J84" s="23">
        <f t="shared" si="15"/>
        <v>0</v>
      </c>
      <c r="K84" s="24"/>
      <c r="L84" s="24"/>
      <c r="M84" s="24"/>
      <c r="N84" s="24"/>
      <c r="O84" s="24"/>
      <c r="P84" s="23">
        <f t="shared" si="16"/>
        <v>2100</v>
      </c>
    </row>
    <row r="85" spans="1:16" ht="41.25" customHeight="1" x14ac:dyDescent="0.25">
      <c r="A85" s="51" t="s">
        <v>166</v>
      </c>
      <c r="B85" s="20" t="s">
        <v>36</v>
      </c>
      <c r="C85" s="21" t="s">
        <v>37</v>
      </c>
      <c r="D85" s="22" t="s">
        <v>38</v>
      </c>
      <c r="E85" s="23">
        <f t="shared" si="17"/>
        <v>3600</v>
      </c>
      <c r="F85" s="39">
        <f>5400-1800</f>
        <v>3600</v>
      </c>
      <c r="G85" s="24"/>
      <c r="H85" s="24"/>
      <c r="I85" s="24"/>
      <c r="J85" s="23">
        <f t="shared" si="15"/>
        <v>0</v>
      </c>
      <c r="K85" s="24"/>
      <c r="L85" s="24"/>
      <c r="M85" s="24"/>
      <c r="N85" s="24"/>
      <c r="O85" s="24"/>
      <c r="P85" s="23">
        <f t="shared" si="16"/>
        <v>3600</v>
      </c>
    </row>
    <row r="86" spans="1:16" ht="66" customHeight="1" x14ac:dyDescent="0.25">
      <c r="A86" s="51"/>
      <c r="B86" s="20"/>
      <c r="C86" s="21"/>
      <c r="D86" s="12" t="s">
        <v>39</v>
      </c>
      <c r="E86" s="23">
        <f t="shared" si="17"/>
        <v>3600</v>
      </c>
      <c r="F86" s="42">
        <v>3600</v>
      </c>
      <c r="G86" s="24"/>
      <c r="H86" s="24"/>
      <c r="I86" s="24"/>
      <c r="J86" s="23">
        <f t="shared" si="15"/>
        <v>0</v>
      </c>
      <c r="K86" s="24"/>
      <c r="L86" s="24"/>
      <c r="M86" s="24"/>
      <c r="N86" s="24"/>
      <c r="O86" s="24"/>
      <c r="P86" s="23">
        <f t="shared" si="16"/>
        <v>3600</v>
      </c>
    </row>
    <row r="87" spans="1:16" ht="71.25" customHeight="1" x14ac:dyDescent="0.25">
      <c r="A87" s="53" t="s">
        <v>167</v>
      </c>
      <c r="B87" s="25" t="s">
        <v>147</v>
      </c>
      <c r="C87" s="25" t="s">
        <v>42</v>
      </c>
      <c r="D87" s="12" t="s">
        <v>148</v>
      </c>
      <c r="E87" s="23">
        <f t="shared" si="17"/>
        <v>111100</v>
      </c>
      <c r="F87" s="42">
        <f>39000+72100</f>
        <v>111100</v>
      </c>
      <c r="G87" s="24"/>
      <c r="H87" s="24"/>
      <c r="I87" s="24"/>
      <c r="J87" s="23">
        <f t="shared" si="15"/>
        <v>0</v>
      </c>
      <c r="K87" s="24"/>
      <c r="L87" s="24"/>
      <c r="M87" s="24"/>
      <c r="N87" s="24"/>
      <c r="O87" s="24"/>
      <c r="P87" s="23">
        <f t="shared" si="16"/>
        <v>111100</v>
      </c>
    </row>
    <row r="88" spans="1:16" ht="54.75" customHeight="1" x14ac:dyDescent="0.25">
      <c r="A88" s="51" t="s">
        <v>168</v>
      </c>
      <c r="B88" s="20" t="s">
        <v>41</v>
      </c>
      <c r="C88" s="21" t="s">
        <v>42</v>
      </c>
      <c r="D88" s="22" t="s">
        <v>43</v>
      </c>
      <c r="E88" s="23">
        <f t="shared" si="17"/>
        <v>2300</v>
      </c>
      <c r="F88" s="39">
        <f>3450-1150</f>
        <v>2300</v>
      </c>
      <c r="G88" s="24"/>
      <c r="H88" s="24"/>
      <c r="I88" s="24"/>
      <c r="J88" s="23">
        <f t="shared" si="15"/>
        <v>0</v>
      </c>
      <c r="K88" s="24"/>
      <c r="L88" s="24"/>
      <c r="M88" s="24"/>
      <c r="N88" s="24"/>
      <c r="O88" s="24"/>
      <c r="P88" s="23">
        <f t="shared" si="16"/>
        <v>2300</v>
      </c>
    </row>
    <row r="89" spans="1:16" ht="90" customHeight="1" x14ac:dyDescent="0.25">
      <c r="A89" s="52"/>
      <c r="B89" s="10"/>
      <c r="C89" s="11"/>
      <c r="D89" s="12" t="s">
        <v>44</v>
      </c>
      <c r="E89" s="23">
        <f t="shared" si="17"/>
        <v>2300</v>
      </c>
      <c r="F89" s="42">
        <v>2300</v>
      </c>
      <c r="G89" s="24"/>
      <c r="H89" s="24"/>
      <c r="I89" s="24"/>
      <c r="J89" s="23">
        <f t="shared" si="15"/>
        <v>0</v>
      </c>
      <c r="K89" s="24"/>
      <c r="L89" s="24"/>
      <c r="M89" s="24"/>
      <c r="N89" s="24"/>
      <c r="O89" s="24"/>
      <c r="P89" s="23">
        <f t="shared" si="16"/>
        <v>2300</v>
      </c>
    </row>
    <row r="90" spans="1:16" ht="65.25" customHeight="1" x14ac:dyDescent="0.25">
      <c r="A90" s="57" t="s">
        <v>169</v>
      </c>
      <c r="B90" s="20">
        <v>3180</v>
      </c>
      <c r="C90" s="25">
        <v>1060</v>
      </c>
      <c r="D90" s="22" t="s">
        <v>149</v>
      </c>
      <c r="E90" s="23">
        <f t="shared" si="17"/>
        <v>4000</v>
      </c>
      <c r="F90" s="42">
        <v>4000</v>
      </c>
      <c r="G90" s="24"/>
      <c r="H90" s="24"/>
      <c r="I90" s="24"/>
      <c r="J90" s="23">
        <f t="shared" si="15"/>
        <v>0</v>
      </c>
      <c r="K90" s="24"/>
      <c r="L90" s="24"/>
      <c r="M90" s="24"/>
      <c r="N90" s="24"/>
      <c r="O90" s="24"/>
      <c r="P90" s="23">
        <f t="shared" si="16"/>
        <v>4000</v>
      </c>
    </row>
    <row r="91" spans="1:16" ht="40.5" customHeight="1" x14ac:dyDescent="0.25">
      <c r="A91" s="51" t="s">
        <v>170</v>
      </c>
      <c r="B91" s="20" t="s">
        <v>46</v>
      </c>
      <c r="C91" s="21" t="s">
        <v>37</v>
      </c>
      <c r="D91" s="22" t="s">
        <v>47</v>
      </c>
      <c r="E91" s="23">
        <f t="shared" si="17"/>
        <v>2900</v>
      </c>
      <c r="F91" s="39">
        <f>4350-1450</f>
        <v>2900</v>
      </c>
      <c r="G91" s="24"/>
      <c r="H91" s="24"/>
      <c r="I91" s="24"/>
      <c r="J91" s="23">
        <f t="shared" si="15"/>
        <v>0</v>
      </c>
      <c r="K91" s="24"/>
      <c r="L91" s="24"/>
      <c r="M91" s="24"/>
      <c r="N91" s="24"/>
      <c r="O91" s="24"/>
      <c r="P91" s="23">
        <f t="shared" si="16"/>
        <v>2900</v>
      </c>
    </row>
    <row r="92" spans="1:16" ht="41.25" hidden="1" customHeight="1" x14ac:dyDescent="0.25">
      <c r="A92" s="52"/>
      <c r="B92" s="10"/>
      <c r="C92" s="11"/>
      <c r="D92" s="12" t="s">
        <v>48</v>
      </c>
      <c r="E92" s="23">
        <f t="shared" si="17"/>
        <v>0</v>
      </c>
      <c r="F92" s="42"/>
      <c r="G92" s="24"/>
      <c r="H92" s="24"/>
      <c r="I92" s="24"/>
      <c r="J92" s="23">
        <f t="shared" si="15"/>
        <v>0</v>
      </c>
      <c r="K92" s="24"/>
      <c r="L92" s="24"/>
      <c r="M92" s="24"/>
      <c r="N92" s="24"/>
      <c r="O92" s="24"/>
      <c r="P92" s="23">
        <f t="shared" si="16"/>
        <v>0</v>
      </c>
    </row>
    <row r="93" spans="1:16" ht="63" customHeight="1" x14ac:dyDescent="0.25">
      <c r="A93" s="52"/>
      <c r="B93" s="10"/>
      <c r="C93" s="11"/>
      <c r="D93" s="12" t="s">
        <v>49</v>
      </c>
      <c r="E93" s="23">
        <f t="shared" si="17"/>
        <v>2900</v>
      </c>
      <c r="F93" s="42">
        <v>2900</v>
      </c>
      <c r="G93" s="24"/>
      <c r="H93" s="24"/>
      <c r="I93" s="24"/>
      <c r="J93" s="23">
        <f t="shared" si="15"/>
        <v>0</v>
      </c>
      <c r="K93" s="24"/>
      <c r="L93" s="24"/>
      <c r="M93" s="24"/>
      <c r="N93" s="24"/>
      <c r="O93" s="24"/>
      <c r="P93" s="23">
        <f t="shared" si="16"/>
        <v>2900</v>
      </c>
    </row>
    <row r="94" spans="1:16" ht="41.25" hidden="1" customHeight="1" x14ac:dyDescent="0.25">
      <c r="A94" s="51" t="s">
        <v>50</v>
      </c>
      <c r="B94" s="20" t="s">
        <v>51</v>
      </c>
      <c r="C94" s="21" t="s">
        <v>52</v>
      </c>
      <c r="D94" s="22" t="s">
        <v>53</v>
      </c>
      <c r="E94" s="23">
        <f t="shared" si="17"/>
        <v>0</v>
      </c>
      <c r="F94" s="39"/>
      <c r="G94" s="24"/>
      <c r="H94" s="24"/>
      <c r="I94" s="24"/>
      <c r="J94" s="23">
        <f t="shared" si="15"/>
        <v>0</v>
      </c>
      <c r="K94" s="24"/>
      <c r="L94" s="24"/>
      <c r="M94" s="24"/>
      <c r="N94" s="24"/>
      <c r="O94" s="24"/>
      <c r="P94" s="23">
        <f t="shared" si="16"/>
        <v>0</v>
      </c>
    </row>
    <row r="95" spans="1:16" ht="41.25" customHeight="1" x14ac:dyDescent="0.25">
      <c r="A95" s="51" t="s">
        <v>171</v>
      </c>
      <c r="B95" s="20" t="s">
        <v>55</v>
      </c>
      <c r="C95" s="21" t="s">
        <v>56</v>
      </c>
      <c r="D95" s="22" t="s">
        <v>57</v>
      </c>
      <c r="E95" s="23">
        <f t="shared" si="17"/>
        <v>72000</v>
      </c>
      <c r="F95" s="39">
        <v>72000</v>
      </c>
      <c r="G95" s="24"/>
      <c r="H95" s="24"/>
      <c r="I95" s="24"/>
      <c r="J95" s="23">
        <f t="shared" si="15"/>
        <v>0</v>
      </c>
      <c r="K95" s="24"/>
      <c r="L95" s="24"/>
      <c r="M95" s="24"/>
      <c r="N95" s="24"/>
      <c r="O95" s="24"/>
      <c r="P95" s="23">
        <f t="shared" si="16"/>
        <v>72000</v>
      </c>
    </row>
    <row r="96" spans="1:16" ht="18" customHeight="1" x14ac:dyDescent="0.25">
      <c r="A96" s="57" t="s">
        <v>141</v>
      </c>
      <c r="B96" s="25"/>
      <c r="C96" s="21"/>
      <c r="D96" s="38" t="s">
        <v>140</v>
      </c>
      <c r="E96" s="40">
        <f t="shared" ref="E96:I97" si="18">E97</f>
        <v>560440</v>
      </c>
      <c r="F96" s="39">
        <f t="shared" si="18"/>
        <v>560440</v>
      </c>
      <c r="G96" s="40">
        <f t="shared" si="18"/>
        <v>438650</v>
      </c>
      <c r="H96" s="40">
        <f t="shared" si="18"/>
        <v>0</v>
      </c>
      <c r="I96" s="24">
        <f t="shared" si="18"/>
        <v>0</v>
      </c>
      <c r="J96" s="23">
        <f t="shared" si="5"/>
        <v>0</v>
      </c>
      <c r="K96" s="24"/>
      <c r="L96" s="24"/>
      <c r="M96" s="24"/>
      <c r="N96" s="24"/>
      <c r="O96" s="24"/>
      <c r="P96" s="23">
        <f>E96+J96</f>
        <v>560440</v>
      </c>
    </row>
    <row r="97" spans="1:16" ht="21" customHeight="1" x14ac:dyDescent="0.25">
      <c r="A97" s="57" t="s">
        <v>143</v>
      </c>
      <c r="B97" s="25"/>
      <c r="C97" s="21"/>
      <c r="D97" s="38" t="s">
        <v>140</v>
      </c>
      <c r="E97" s="40">
        <f t="shared" si="18"/>
        <v>560440</v>
      </c>
      <c r="F97" s="39">
        <f t="shared" si="18"/>
        <v>560440</v>
      </c>
      <c r="G97" s="40">
        <f t="shared" si="18"/>
        <v>438650</v>
      </c>
      <c r="H97" s="40">
        <f t="shared" si="18"/>
        <v>0</v>
      </c>
      <c r="I97" s="24">
        <f t="shared" si="18"/>
        <v>0</v>
      </c>
      <c r="J97" s="23">
        <f t="shared" si="5"/>
        <v>0</v>
      </c>
      <c r="K97" s="24"/>
      <c r="L97" s="24"/>
      <c r="M97" s="24"/>
      <c r="N97" s="24"/>
      <c r="O97" s="24"/>
      <c r="P97" s="23">
        <f t="shared" ref="P97:P102" si="19">E97+J97</f>
        <v>560440</v>
      </c>
    </row>
    <row r="98" spans="1:16" ht="45.75" customHeight="1" x14ac:dyDescent="0.25">
      <c r="A98" s="57" t="s">
        <v>142</v>
      </c>
      <c r="B98" s="25" t="s">
        <v>27</v>
      </c>
      <c r="C98" s="25" t="s">
        <v>23</v>
      </c>
      <c r="D98" s="45" t="s">
        <v>120</v>
      </c>
      <c r="E98" s="39">
        <f t="shared" si="10"/>
        <v>560440</v>
      </c>
      <c r="F98" s="48">
        <f>678440-120000-4000-6500+12500</f>
        <v>560440</v>
      </c>
      <c r="G98" s="24">
        <f>527000-98350+10000</f>
        <v>438650</v>
      </c>
      <c r="H98" s="24">
        <f>10500-4000-6500</f>
        <v>0</v>
      </c>
      <c r="I98" s="24">
        <v>0</v>
      </c>
      <c r="J98" s="23">
        <f t="shared" si="5"/>
        <v>0</v>
      </c>
      <c r="K98" s="24"/>
      <c r="L98" s="24"/>
      <c r="M98" s="24"/>
      <c r="N98" s="24"/>
      <c r="O98" s="24"/>
      <c r="P98" s="23">
        <f t="shared" si="19"/>
        <v>560440</v>
      </c>
    </row>
    <row r="99" spans="1:16" x14ac:dyDescent="0.25">
      <c r="A99" s="56" t="s">
        <v>116</v>
      </c>
      <c r="B99" s="6"/>
      <c r="C99" s="7"/>
      <c r="D99" s="8" t="s">
        <v>117</v>
      </c>
      <c r="E99" s="9">
        <f>E100</f>
        <v>3603707</v>
      </c>
      <c r="F99" s="59">
        <f t="shared" ref="F99:O99" si="20">F100</f>
        <v>3583707</v>
      </c>
      <c r="G99" s="9">
        <f t="shared" si="20"/>
        <v>441475</v>
      </c>
      <c r="H99" s="9">
        <f t="shared" si="20"/>
        <v>0</v>
      </c>
      <c r="I99" s="9">
        <f t="shared" si="20"/>
        <v>0</v>
      </c>
      <c r="J99" s="23">
        <f t="shared" si="5"/>
        <v>0</v>
      </c>
      <c r="K99" s="9">
        <f t="shared" si="20"/>
        <v>0</v>
      </c>
      <c r="L99" s="9">
        <f t="shared" si="20"/>
        <v>0</v>
      </c>
      <c r="M99" s="9">
        <f t="shared" si="20"/>
        <v>0</v>
      </c>
      <c r="N99" s="9">
        <f t="shared" si="20"/>
        <v>0</v>
      </c>
      <c r="O99" s="9">
        <f t="shared" si="20"/>
        <v>0</v>
      </c>
      <c r="P99" s="9">
        <f>E99+J99</f>
        <v>3603707</v>
      </c>
    </row>
    <row r="100" spans="1:16" x14ac:dyDescent="0.25">
      <c r="A100" s="56" t="s">
        <v>118</v>
      </c>
      <c r="B100" s="6"/>
      <c r="C100" s="7"/>
      <c r="D100" s="8" t="s">
        <v>117</v>
      </c>
      <c r="E100" s="9">
        <f>E101+E102+E105+E103</f>
        <v>3603707</v>
      </c>
      <c r="F100" s="59">
        <f t="shared" ref="F100:O100" si="21">F101+F102+F105+F103</f>
        <v>3583707</v>
      </c>
      <c r="G100" s="9">
        <f>G101+G102+G105+G103</f>
        <v>441475</v>
      </c>
      <c r="H100" s="9">
        <f t="shared" si="21"/>
        <v>0</v>
      </c>
      <c r="I100" s="9">
        <f t="shared" si="21"/>
        <v>0</v>
      </c>
      <c r="J100" s="23">
        <f t="shared" si="5"/>
        <v>0</v>
      </c>
      <c r="K100" s="9">
        <f t="shared" si="21"/>
        <v>0</v>
      </c>
      <c r="L100" s="9">
        <f t="shared" si="21"/>
        <v>0</v>
      </c>
      <c r="M100" s="9">
        <f t="shared" si="21"/>
        <v>0</v>
      </c>
      <c r="N100" s="9">
        <f t="shared" si="21"/>
        <v>0</v>
      </c>
      <c r="O100" s="9">
        <f t="shared" si="21"/>
        <v>0</v>
      </c>
      <c r="P100" s="9">
        <f>E100+J100</f>
        <v>3603707</v>
      </c>
    </row>
    <row r="101" spans="1:16" ht="49.5" customHeight="1" x14ac:dyDescent="0.25">
      <c r="A101" s="51" t="s">
        <v>119</v>
      </c>
      <c r="B101" s="20" t="s">
        <v>27</v>
      </c>
      <c r="C101" s="21" t="s">
        <v>23</v>
      </c>
      <c r="D101" s="22" t="s">
        <v>120</v>
      </c>
      <c r="E101" s="23">
        <f>F101+I101</f>
        <v>561940</v>
      </c>
      <c r="F101" s="48">
        <f>683440-80000-4000+3000-40500</f>
        <v>561940</v>
      </c>
      <c r="G101" s="24">
        <f>527000-65525-20000</f>
        <v>441475</v>
      </c>
      <c r="H101" s="24">
        <f>10500-4000-6500</f>
        <v>0</v>
      </c>
      <c r="I101" s="24">
        <v>0</v>
      </c>
      <c r="J101" s="23">
        <f t="shared" si="5"/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3">
        <f t="shared" si="19"/>
        <v>561940</v>
      </c>
    </row>
    <row r="102" spans="1:16" x14ac:dyDescent="0.25">
      <c r="A102" s="51" t="s">
        <v>121</v>
      </c>
      <c r="B102" s="20" t="s">
        <v>122</v>
      </c>
      <c r="C102" s="21" t="s">
        <v>26</v>
      </c>
      <c r="D102" s="22" t="s">
        <v>123</v>
      </c>
      <c r="E102" s="23">
        <v>20000</v>
      </c>
      <c r="F102" s="39">
        <v>0</v>
      </c>
      <c r="G102" s="24">
        <v>0</v>
      </c>
      <c r="H102" s="24">
        <v>0</v>
      </c>
      <c r="I102" s="24">
        <v>0</v>
      </c>
      <c r="J102" s="23">
        <f t="shared" si="5"/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3">
        <f t="shared" si="19"/>
        <v>20000</v>
      </c>
    </row>
    <row r="103" spans="1:16" ht="69.75" customHeight="1" x14ac:dyDescent="0.25">
      <c r="A103" s="50">
        <v>3719430</v>
      </c>
      <c r="B103" s="34">
        <v>9430</v>
      </c>
      <c r="C103" s="35" t="s">
        <v>25</v>
      </c>
      <c r="D103" s="37" t="s">
        <v>124</v>
      </c>
      <c r="E103" s="23">
        <f>F103+I103</f>
        <v>83700</v>
      </c>
      <c r="F103" s="39">
        <f>55800+27900</f>
        <v>83700</v>
      </c>
      <c r="G103" s="24"/>
      <c r="H103" s="24"/>
      <c r="I103" s="24"/>
      <c r="J103" s="23">
        <f t="shared" si="5"/>
        <v>0</v>
      </c>
      <c r="K103" s="24"/>
      <c r="L103" s="24"/>
      <c r="M103" s="24"/>
      <c r="N103" s="24"/>
      <c r="O103" s="24"/>
      <c r="P103" s="23">
        <f>E103</f>
        <v>83700</v>
      </c>
    </row>
    <row r="104" spans="1:16" ht="60.75" customHeight="1" x14ac:dyDescent="0.25">
      <c r="A104" s="51"/>
      <c r="B104" s="20"/>
      <c r="C104" s="21"/>
      <c r="D104" s="12" t="s">
        <v>125</v>
      </c>
      <c r="E104" s="23">
        <f>F104+I104</f>
        <v>83700</v>
      </c>
      <c r="F104" s="42">
        <f>55800+27900</f>
        <v>83700</v>
      </c>
      <c r="G104" s="24"/>
      <c r="H104" s="24"/>
      <c r="I104" s="24"/>
      <c r="J104" s="23">
        <f t="shared" si="5"/>
        <v>0</v>
      </c>
      <c r="K104" s="24"/>
      <c r="L104" s="24"/>
      <c r="M104" s="24"/>
      <c r="N104" s="24"/>
      <c r="O104" s="24"/>
      <c r="P104" s="23">
        <f>E104</f>
        <v>83700</v>
      </c>
    </row>
    <row r="105" spans="1:16" ht="18.75" customHeight="1" x14ac:dyDescent="0.25">
      <c r="A105" s="51" t="s">
        <v>126</v>
      </c>
      <c r="B105" s="20" t="s">
        <v>127</v>
      </c>
      <c r="C105" s="21" t="s">
        <v>25</v>
      </c>
      <c r="D105" s="22" t="s">
        <v>128</v>
      </c>
      <c r="E105" s="23">
        <f>F105+I105</f>
        <v>2938067</v>
      </c>
      <c r="F105" s="24">
        <f>855500+25000+10000+1275971+137143+578555+430965+35000+111126-316224-282800+35380-3000+37081+8370</f>
        <v>2938067</v>
      </c>
      <c r="G105" s="24">
        <v>0</v>
      </c>
      <c r="H105" s="24">
        <v>0</v>
      </c>
      <c r="I105" s="47"/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>E105+J105</f>
        <v>2938067</v>
      </c>
    </row>
    <row r="106" spans="1:16" x14ac:dyDescent="0.25">
      <c r="A106" s="14" t="s">
        <v>129</v>
      </c>
      <c r="B106" s="15" t="s">
        <v>129</v>
      </c>
      <c r="C106" s="16" t="s">
        <v>129</v>
      </c>
      <c r="D106" s="17" t="s">
        <v>130</v>
      </c>
      <c r="E106" s="9">
        <f>E99+E54+E15+E96+E77</f>
        <v>58220318</v>
      </c>
      <c r="F106" s="9">
        <f>F99+F54+F15+F96+F77</f>
        <v>58200318</v>
      </c>
      <c r="G106" s="9">
        <f t="shared" ref="G106:O106" si="22">G99+G54+G15+G96+G77</f>
        <v>37048836</v>
      </c>
      <c r="H106" s="9">
        <f t="shared" si="22"/>
        <v>2831010</v>
      </c>
      <c r="I106" s="9">
        <f t="shared" si="22"/>
        <v>0</v>
      </c>
      <c r="J106" s="9">
        <f>J99+J54+J15+J96+J77</f>
        <v>10286645</v>
      </c>
      <c r="K106" s="9">
        <f>K99+K54+K15+K96+K77</f>
        <v>8636214</v>
      </c>
      <c r="L106" s="9">
        <f t="shared" si="22"/>
        <v>965283</v>
      </c>
      <c r="M106" s="9">
        <f t="shared" si="22"/>
        <v>0</v>
      </c>
      <c r="N106" s="9">
        <f t="shared" si="22"/>
        <v>0</v>
      </c>
      <c r="O106" s="9">
        <f t="shared" si="22"/>
        <v>9321362</v>
      </c>
      <c r="P106" s="9">
        <f>P99+P54+P15+P96+P77</f>
        <v>68506963</v>
      </c>
    </row>
    <row r="107" spans="1:16" x14ac:dyDescent="0.25">
      <c r="A107" s="26"/>
      <c r="B107" s="26"/>
      <c r="C107" s="26"/>
      <c r="D107" s="26"/>
      <c r="E107" s="27"/>
      <c r="F107" s="26"/>
      <c r="G107" s="26"/>
      <c r="H107" s="28"/>
      <c r="I107" s="26"/>
      <c r="J107" s="26"/>
      <c r="K107" s="26"/>
      <c r="L107" s="26"/>
      <c r="M107" s="26"/>
      <c r="N107" s="26"/>
      <c r="O107" s="26"/>
      <c r="P107" s="26"/>
    </row>
    <row r="108" spans="1:16" x14ac:dyDescent="0.25">
      <c r="A108" s="29"/>
      <c r="B108" s="29"/>
      <c r="C108" s="29"/>
      <c r="D108" s="29"/>
      <c r="E108" s="27"/>
      <c r="F108" s="29"/>
      <c r="G108" s="29"/>
      <c r="H108" s="29"/>
      <c r="I108" s="29"/>
      <c r="J108" s="30"/>
      <c r="K108" s="29"/>
      <c r="L108" s="29"/>
      <c r="M108" s="29"/>
      <c r="N108" s="29"/>
      <c r="O108" s="29"/>
      <c r="P108" s="30"/>
    </row>
    <row r="109" spans="1:16" x14ac:dyDescent="0.25">
      <c r="B109" s="19" t="s">
        <v>131</v>
      </c>
      <c r="E109" s="18"/>
      <c r="I109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2021-10-04T12:38:18Z</dcterms:modified>
</cp:coreProperties>
</file>