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57" i="1"/>
  <c r="O57" l="1"/>
  <c r="K57"/>
  <c r="E16"/>
  <c r="F16"/>
  <c r="J53"/>
  <c r="E53"/>
  <c r="P53" s="1"/>
  <c r="F39"/>
  <c r="G79"/>
  <c r="F79"/>
  <c r="F20"/>
  <c r="F40"/>
  <c r="O17"/>
  <c r="K17"/>
  <c r="F104" l="1"/>
  <c r="F45"/>
  <c r="F72"/>
  <c r="F56"/>
  <c r="O56"/>
  <c r="K56"/>
  <c r="E46" l="1"/>
  <c r="E47"/>
  <c r="E48"/>
  <c r="E49"/>
  <c r="E50"/>
  <c r="E51"/>
  <c r="E52"/>
  <c r="G71" l="1"/>
  <c r="F71"/>
  <c r="F70"/>
  <c r="G72"/>
  <c r="G56"/>
  <c r="G57"/>
  <c r="H100" l="1"/>
  <c r="G100"/>
  <c r="F100"/>
  <c r="G97"/>
  <c r="H97"/>
  <c r="F97"/>
  <c r="G78"/>
  <c r="F78"/>
  <c r="K63" l="1"/>
  <c r="F63"/>
  <c r="F62"/>
  <c r="K62"/>
  <c r="O62"/>
  <c r="E64"/>
  <c r="P64" s="1"/>
  <c r="J64"/>
  <c r="F61"/>
  <c r="E62"/>
  <c r="J62"/>
  <c r="O61"/>
  <c r="K61"/>
  <c r="L55"/>
  <c r="M55"/>
  <c r="N55"/>
  <c r="O55"/>
  <c r="K55"/>
  <c r="F55"/>
  <c r="P62" l="1"/>
  <c r="O51"/>
  <c r="K51"/>
  <c r="F75" l="1"/>
  <c r="F38" l="1"/>
  <c r="O52" l="1"/>
  <c r="K52"/>
  <c r="J57" l="1"/>
  <c r="G22" l="1"/>
  <c r="F22"/>
  <c r="F17"/>
  <c r="H17"/>
  <c r="F102" l="1"/>
  <c r="F103"/>
  <c r="G55" l="1"/>
  <c r="H55"/>
  <c r="I55"/>
  <c r="J73"/>
  <c r="P73" s="1"/>
  <c r="E73"/>
  <c r="K16" l="1"/>
  <c r="F86"/>
  <c r="O16"/>
  <c r="L16"/>
  <c r="J16" l="1"/>
  <c r="G16"/>
  <c r="H16"/>
  <c r="I16"/>
  <c r="M16"/>
  <c r="N16"/>
  <c r="J52"/>
  <c r="P52" s="1"/>
  <c r="E19"/>
  <c r="P19" s="1"/>
  <c r="H56"/>
  <c r="J56"/>
  <c r="M57"/>
  <c r="N57"/>
  <c r="J61"/>
  <c r="J63"/>
  <c r="E59"/>
  <c r="E60"/>
  <c r="E61"/>
  <c r="P61" s="1"/>
  <c r="E63"/>
  <c r="G17"/>
  <c r="P63" l="1"/>
  <c r="J51"/>
  <c r="P51" s="1"/>
  <c r="G39" l="1"/>
  <c r="O50" l="1"/>
  <c r="K50"/>
  <c r="J80" l="1"/>
  <c r="J81"/>
  <c r="J82"/>
  <c r="J83"/>
  <c r="J84"/>
  <c r="J85"/>
  <c r="J86"/>
  <c r="J87"/>
  <c r="J88"/>
  <c r="J89"/>
  <c r="J90"/>
  <c r="J91"/>
  <c r="J92"/>
  <c r="J93"/>
  <c r="J94"/>
  <c r="J77" s="1"/>
  <c r="K77" l="1"/>
  <c r="J79"/>
  <c r="J59" l="1"/>
  <c r="P59" s="1"/>
  <c r="J60"/>
  <c r="P60" s="1"/>
  <c r="J50" l="1"/>
  <c r="P50" s="1"/>
  <c r="O74" l="1"/>
  <c r="K74"/>
  <c r="O75"/>
  <c r="K75"/>
  <c r="J74" l="1"/>
  <c r="E74"/>
  <c r="P74" l="1"/>
  <c r="J49" l="1"/>
  <c r="P49" s="1"/>
  <c r="H71"/>
  <c r="J47"/>
  <c r="P47" s="1"/>
  <c r="J48"/>
  <c r="F37"/>
  <c r="H72"/>
  <c r="H57"/>
  <c r="P48" l="1"/>
  <c r="H70"/>
  <c r="E79"/>
  <c r="G77"/>
  <c r="O65"/>
  <c r="J66"/>
  <c r="E66"/>
  <c r="K65"/>
  <c r="F65"/>
  <c r="F96"/>
  <c r="F95" s="1"/>
  <c r="G70"/>
  <c r="E41"/>
  <c r="E42"/>
  <c r="E43"/>
  <c r="P43" s="1"/>
  <c r="F35"/>
  <c r="F33"/>
  <c r="F31"/>
  <c r="F30"/>
  <c r="F29"/>
  <c r="F28"/>
  <c r="F27"/>
  <c r="F26"/>
  <c r="F25"/>
  <c r="F24"/>
  <c r="F23"/>
  <c r="F21"/>
  <c r="H77"/>
  <c r="I77"/>
  <c r="L77"/>
  <c r="M77"/>
  <c r="N77"/>
  <c r="O77"/>
  <c r="E94"/>
  <c r="P94" s="1"/>
  <c r="E93"/>
  <c r="P93" s="1"/>
  <c r="E92"/>
  <c r="P92" s="1"/>
  <c r="E91"/>
  <c r="P91" s="1"/>
  <c r="F90"/>
  <c r="E90" s="1"/>
  <c r="P90" s="1"/>
  <c r="E89"/>
  <c r="P89" s="1"/>
  <c r="E88"/>
  <c r="P88" s="1"/>
  <c r="F87"/>
  <c r="E87" s="1"/>
  <c r="P87" s="1"/>
  <c r="E86"/>
  <c r="P86" s="1"/>
  <c r="E85"/>
  <c r="P85" s="1"/>
  <c r="F84"/>
  <c r="E84" s="1"/>
  <c r="P84" s="1"/>
  <c r="E83"/>
  <c r="P83" s="1"/>
  <c r="F82"/>
  <c r="E82" s="1"/>
  <c r="P82" s="1"/>
  <c r="F81"/>
  <c r="E81" s="1"/>
  <c r="P81" s="1"/>
  <c r="E80"/>
  <c r="P80" s="1"/>
  <c r="P66" l="1"/>
  <c r="F77"/>
  <c r="P79"/>
  <c r="F76" l="1"/>
  <c r="G76"/>
  <c r="H76"/>
  <c r="I76"/>
  <c r="K76"/>
  <c r="L76"/>
  <c r="M76"/>
  <c r="N76"/>
  <c r="O76"/>
  <c r="J78"/>
  <c r="J76" s="1"/>
  <c r="E78"/>
  <c r="E77" s="1"/>
  <c r="E76" l="1"/>
  <c r="P78"/>
  <c r="P77" s="1"/>
  <c r="P76" l="1"/>
  <c r="J65"/>
  <c r="E65"/>
  <c r="P65" l="1"/>
  <c r="J75"/>
  <c r="E75"/>
  <c r="H39"/>
  <c r="H15" s="1"/>
  <c r="F18"/>
  <c r="E40"/>
  <c r="E18"/>
  <c r="P18" s="1"/>
  <c r="E104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P41" s="1"/>
  <c r="J42"/>
  <c r="P42" s="1"/>
  <c r="J44"/>
  <c r="J45"/>
  <c r="J46"/>
  <c r="P46" s="1"/>
  <c r="J58"/>
  <c r="J67"/>
  <c r="J68"/>
  <c r="J69"/>
  <c r="J70"/>
  <c r="J71"/>
  <c r="J72"/>
  <c r="J95"/>
  <c r="J96"/>
  <c r="J97"/>
  <c r="J100"/>
  <c r="J101"/>
  <c r="P101" s="1"/>
  <c r="J102"/>
  <c r="J103"/>
  <c r="J104"/>
  <c r="J17"/>
  <c r="E30"/>
  <c r="E27"/>
  <c r="E21"/>
  <c r="E57"/>
  <c r="E102"/>
  <c r="P102" s="1"/>
  <c r="E103"/>
  <c r="P103" s="1"/>
  <c r="E100"/>
  <c r="G96"/>
  <c r="G95" s="1"/>
  <c r="H96"/>
  <c r="H95" s="1"/>
  <c r="I96"/>
  <c r="I95"/>
  <c r="G99"/>
  <c r="G98" s="1"/>
  <c r="E97"/>
  <c r="E96" s="1"/>
  <c r="E95" s="1"/>
  <c r="E44"/>
  <c r="E45"/>
  <c r="G15"/>
  <c r="I15"/>
  <c r="K15"/>
  <c r="L15"/>
  <c r="M15"/>
  <c r="N15"/>
  <c r="O15"/>
  <c r="E20"/>
  <c r="E68"/>
  <c r="E69"/>
  <c r="E70"/>
  <c r="E71"/>
  <c r="E72"/>
  <c r="E67"/>
  <c r="E58"/>
  <c r="E37"/>
  <c r="E39"/>
  <c r="E31"/>
  <c r="E32"/>
  <c r="E33"/>
  <c r="E34"/>
  <c r="E35"/>
  <c r="E36"/>
  <c r="E29"/>
  <c r="E25"/>
  <c r="E26"/>
  <c r="E28"/>
  <c r="E24"/>
  <c r="E22"/>
  <c r="E23"/>
  <c r="E17"/>
  <c r="O99"/>
  <c r="O98" s="1"/>
  <c r="N99"/>
  <c r="N98" s="1"/>
  <c r="M99"/>
  <c r="M98" s="1"/>
  <c r="L99"/>
  <c r="L98" s="1"/>
  <c r="K99"/>
  <c r="K98" s="1"/>
  <c r="I99"/>
  <c r="I98" s="1"/>
  <c r="H99"/>
  <c r="H98" s="1"/>
  <c r="J99"/>
  <c r="P57" l="1"/>
  <c r="P100"/>
  <c r="J55"/>
  <c r="J15"/>
  <c r="P27"/>
  <c r="F15"/>
  <c r="P20"/>
  <c r="P17"/>
  <c r="E38"/>
  <c r="P75"/>
  <c r="P21"/>
  <c r="P24"/>
  <c r="P71"/>
  <c r="P23"/>
  <c r="P96"/>
  <c r="P29"/>
  <c r="P33"/>
  <c r="P45"/>
  <c r="P35"/>
  <c r="P31"/>
  <c r="P39"/>
  <c r="P67"/>
  <c r="P44"/>
  <c r="P70"/>
  <c r="P26"/>
  <c r="P37"/>
  <c r="P22"/>
  <c r="P34"/>
  <c r="P58"/>
  <c r="P97"/>
  <c r="P68"/>
  <c r="P36"/>
  <c r="P72"/>
  <c r="P25"/>
  <c r="P28"/>
  <c r="P32"/>
  <c r="P95"/>
  <c r="P69"/>
  <c r="P30"/>
  <c r="P40"/>
  <c r="P104"/>
  <c r="E99"/>
  <c r="J98"/>
  <c r="F99"/>
  <c r="F98" s="1"/>
  <c r="P16" l="1"/>
  <c r="P15" s="1"/>
  <c r="P38"/>
  <c r="E15"/>
  <c r="P99"/>
  <c r="E98"/>
  <c r="P98" l="1"/>
  <c r="I54" l="1"/>
  <c r="I105" s="1"/>
  <c r="N54"/>
  <c r="N105" s="1"/>
  <c r="O54"/>
  <c r="O105" s="1"/>
  <c r="M54"/>
  <c r="M105" s="1"/>
  <c r="G54"/>
  <c r="G105" s="1"/>
  <c r="H54"/>
  <c r="H105" s="1"/>
  <c r="K54"/>
  <c r="K105" s="1"/>
  <c r="F54"/>
  <c r="F105" s="1"/>
  <c r="L54"/>
  <c r="E56"/>
  <c r="E55" s="1"/>
  <c r="E54" l="1"/>
  <c r="P56"/>
  <c r="J54"/>
  <c r="J105" s="1"/>
  <c r="L105"/>
  <c r="P55" l="1"/>
  <c r="E105"/>
  <c r="P54"/>
  <c r="P105" s="1"/>
</calcChain>
</file>

<file path=xl/sharedStrings.xml><?xml version="1.0" encoding="utf-8"?>
<sst xmlns="http://schemas.openxmlformats.org/spreadsheetml/2006/main" count="280" uniqueCount="207">
  <si>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</si>
  <si>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</si>
  <si>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</si>
  <si>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</si>
  <si>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</si>
  <si>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</si>
  <si>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</si>
  <si>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</si>
  <si>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</si>
  <si>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</si>
  <si>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</si>
  <si>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</si>
  <si>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</si>
  <si>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</si>
  <si>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</si>
  <si>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</si>
  <si>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</si>
  <si>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</si>
  <si>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</si>
  <si>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</si>
  <si>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</si>
  <si>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</si>
  <si>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</si>
  <si>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</si>
  <si>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</si>
  <si>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</si>
  <si>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</si>
  <si>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</si>
  <si>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</si>
  <si>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</si>
  <si>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</si>
  <si>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</si>
  <si>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</si>
  <si>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</si>
  <si>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</si>
  <si>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</si>
  <si>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</si>
  <si>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</si>
  <si>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</si>
  <si>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</si>
  <si>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</si>
  <si>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</si>
  <si>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</si>
  <si>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</si>
  <si>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</si>
  <si>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</si>
  <si>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</si>
  <si>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</si>
  <si>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</si>
  <si>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</si>
  <si>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</si>
  <si>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</si>
  <si>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</si>
  <si>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</si>
  <si>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</si>
  <si>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</si>
  <si>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</si>
  <si>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</si>
  <si>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</si>
  <si>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</si>
  <si>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</si>
  <si>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</si>
  <si>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</si>
  <si>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</si>
  <si>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</si>
  <si>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</si>
  <si>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</si>
  <si>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</si>
  <si>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</si>
  <si>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</si>
  <si>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</si>
  <si>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</si>
  <si>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</si>
  <si>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</si>
  <si>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</si>
  <si>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</si>
  <si>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</si>
  <si>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</si>
  <si>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</si>
  <si>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</si>
  <si>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</si>
  <si>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</si>
  <si>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</si>
  <si>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</si>
  <si>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</si>
  <si>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</si>
  <si>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</si>
  <si>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</si>
  <si>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</si>
  <si>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</si>
  <si>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</si>
  <si>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</si>
  <si>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</si>
  <si>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</si>
  <si>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</si>
  <si>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</si>
  <si>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</si>
  <si>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</si>
  <si>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</si>
  <si>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</si>
  <si>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</si>
  <si>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</si>
  <si>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</si>
  <si>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</si>
  <si>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</si>
  <si>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</si>
  <si>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</si>
  <si>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</si>
  <si>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</si>
  <si>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</si>
  <si>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</si>
  <si>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</si>
  <si>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</si>
  <si>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</si>
  <si>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</si>
  <si>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</si>
  <si>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</si>
  <si>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</si>
  <si>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</si>
  <si>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</si>
  <si>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</si>
  <si>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</si>
  <si>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</si>
  <si>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</si>
  <si>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</si>
  <si>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</si>
  <si>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</si>
  <si>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</si>
  <si>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</si>
  <si>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</si>
  <si>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</si>
  <si>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</si>
  <si>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</si>
  <si>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</si>
  <si>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</si>
  <si>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</si>
  <si>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</si>
  <si>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</si>
  <si>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</si>
  <si>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</si>
  <si>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</si>
  <si>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</si>
  <si>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</si>
  <si>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</si>
  <si>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</si>
  <si>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</si>
  <si>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</si>
  <si>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</si>
  <si>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</si>
  <si>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</si>
  <si>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</si>
  <si>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</si>
  <si>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</si>
  <si>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</si>
  <si>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</si>
  <si>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</si>
  <si>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</si>
  <si>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</si>
  <si>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</si>
  <si>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</si>
  <si>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</si>
  <si>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</si>
  <si>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</si>
  <si>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</si>
  <si>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</si>
  <si>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</si>
  <si>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</si>
  <si>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</si>
  <si>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</si>
  <si>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</si>
  <si>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</si>
  <si>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</si>
  <si>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</si>
  <si>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</si>
  <si>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</si>
  <si>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</si>
  <si>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</si>
  <si>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</si>
  <si>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</si>
  <si>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</si>
  <si>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</si>
  <si>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</si>
  <si>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</si>
  <si>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</si>
  <si>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</si>
  <si>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</si>
  <si>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</si>
  <si>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</si>
  <si>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</si>
  <si>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</si>
  <si>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</si>
  <si>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</si>
  <si>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</si>
  <si>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</si>
  <si>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</si>
  <si>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</si>
  <si>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</si>
  <si>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</si>
  <si>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</si>
  <si>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</si>
  <si>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</si>
  <si>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 xml:space="preserve">від 07.09.2021р № 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</si>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</sst>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08"/>
  <sheetViews>
    <sheetView tabSelected="1" topLeftCell="E98" workbookViewId="0">
      <selection activeCell="F58" sqref="F58"/>
    </sheetView>
  </sheetViews>
  <sheetFormatPr defaultRowHeight="1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>
      <c r="M2" t="s">
        <v>0</v>
      </c>
    </row>
    <row r="3" spans="1:16">
      <c r="M3" t="s">
        <v>132</v>
      </c>
    </row>
    <row r="4" spans="1:16" ht="43.5" customHeight="1">
      <c r="M4" s="64" t="s">
        <v>161</v>
      </c>
      <c r="N4" s="64"/>
      <c r="O4" s="64"/>
      <c r="P4" s="64"/>
    </row>
    <row r="5" spans="1:16">
      <c r="M5" s="60" t="s">
        <v>201</v>
      </c>
    </row>
    <row r="6" spans="1:16">
      <c r="A6" s="65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16">
      <c r="A7" s="65" t="s">
        <v>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6">
      <c r="A8" s="32">
        <v>14555000000</v>
      </c>
      <c r="B8" s="1"/>
      <c r="C8" s="1"/>
      <c r="D8" s="1"/>
      <c r="E8" s="1"/>
      <c r="F8" s="1"/>
      <c r="G8" s="67">
        <v>14555000000</v>
      </c>
      <c r="H8" s="67"/>
      <c r="I8" s="67"/>
      <c r="J8" s="1"/>
      <c r="K8" s="1"/>
      <c r="L8" s="1"/>
      <c r="M8" s="1"/>
      <c r="N8" s="1"/>
      <c r="O8" s="1"/>
      <c r="P8" s="1"/>
    </row>
    <row r="9" spans="1:16">
      <c r="A9" s="2" t="s">
        <v>3</v>
      </c>
      <c r="G9" s="69" t="s">
        <v>3</v>
      </c>
      <c r="H9" s="69"/>
      <c r="I9" s="69"/>
      <c r="P9" s="3" t="s">
        <v>4</v>
      </c>
    </row>
    <row r="10" spans="1:16">
      <c r="A10" s="70" t="s">
        <v>5</v>
      </c>
      <c r="B10" s="70" t="s">
        <v>6</v>
      </c>
      <c r="C10" s="70" t="s">
        <v>7</v>
      </c>
      <c r="D10" s="68" t="s">
        <v>8</v>
      </c>
      <c r="E10" s="68" t="s">
        <v>9</v>
      </c>
      <c r="F10" s="68"/>
      <c r="G10" s="68"/>
      <c r="H10" s="68"/>
      <c r="I10" s="68"/>
      <c r="J10" s="68" t="s">
        <v>10</v>
      </c>
      <c r="K10" s="68"/>
      <c r="L10" s="68"/>
      <c r="M10" s="68"/>
      <c r="N10" s="68"/>
      <c r="O10" s="68"/>
      <c r="P10" s="71" t="s">
        <v>11</v>
      </c>
    </row>
    <row r="11" spans="1:16">
      <c r="A11" s="68"/>
      <c r="B11" s="68"/>
      <c r="C11" s="68"/>
      <c r="D11" s="68"/>
      <c r="E11" s="71" t="s">
        <v>12</v>
      </c>
      <c r="F11" s="68" t="s">
        <v>13</v>
      </c>
      <c r="G11" s="68" t="s">
        <v>14</v>
      </c>
      <c r="H11" s="68"/>
      <c r="I11" s="68" t="s">
        <v>15</v>
      </c>
      <c r="J11" s="71" t="s">
        <v>12</v>
      </c>
      <c r="K11" s="68" t="s">
        <v>16</v>
      </c>
      <c r="L11" s="68" t="s">
        <v>13</v>
      </c>
      <c r="M11" s="68" t="s">
        <v>14</v>
      </c>
      <c r="N11" s="68"/>
      <c r="O11" s="68" t="s">
        <v>15</v>
      </c>
      <c r="P11" s="68"/>
    </row>
    <row r="12" spans="1:16">
      <c r="A12" s="68"/>
      <c r="B12" s="68"/>
      <c r="C12" s="68"/>
      <c r="D12" s="68"/>
      <c r="E12" s="68"/>
      <c r="F12" s="68"/>
      <c r="G12" s="68" t="s">
        <v>17</v>
      </c>
      <c r="H12" s="68" t="s">
        <v>18</v>
      </c>
      <c r="I12" s="68"/>
      <c r="J12" s="68"/>
      <c r="K12" s="68"/>
      <c r="L12" s="68"/>
      <c r="M12" s="68" t="s">
        <v>17</v>
      </c>
      <c r="N12" s="68" t="s">
        <v>18</v>
      </c>
      <c r="O12" s="68"/>
      <c r="P12" s="68"/>
    </row>
    <row r="13" spans="1:16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</row>
    <row r="14" spans="1:16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>
      <c r="A15" s="56" t="s">
        <v>19</v>
      </c>
      <c r="B15" s="6"/>
      <c r="C15" s="7"/>
      <c r="D15" s="31" t="s">
        <v>133</v>
      </c>
      <c r="E15" s="9">
        <f>E16</f>
        <v>14568764</v>
      </c>
      <c r="F15" s="9">
        <f t="shared" ref="F15:O15" si="0">F16</f>
        <v>14568764</v>
      </c>
      <c r="G15" s="9">
        <f t="shared" si="0"/>
        <v>8638782</v>
      </c>
      <c r="H15" s="9">
        <f t="shared" si="0"/>
        <v>923010</v>
      </c>
      <c r="I15" s="9">
        <f t="shared" si="0"/>
        <v>0</v>
      </c>
      <c r="J15" s="9">
        <f t="shared" si="0"/>
        <v>4575934</v>
      </c>
      <c r="K15" s="9">
        <f t="shared" si="0"/>
        <v>4397434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4397434</v>
      </c>
      <c r="P15" s="9">
        <f>P16</f>
        <v>19144698</v>
      </c>
    </row>
    <row r="16" spans="1:16" ht="16.5" customHeight="1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14568764</v>
      </c>
      <c r="F16" s="9">
        <f>F17+F20+F21+F22+F23+F25+F27+F28+F30+F31+F34+F35+F37+F38+F39+F40+F41+F42+F44+F45+F46+F47+F18+F43+F19+F52+F51+F53</f>
        <v>14568764</v>
      </c>
      <c r="G16" s="9">
        <f t="shared" ref="G16:N16" si="1">G17+G20+G21+G22+G23+G25+G27+G28+G30+G31+G34+G35+G37+G38+G39+G40+G41+G42+G44+G45+G46+G47+G18+G43+G19+G52</f>
        <v>8638782</v>
      </c>
      <c r="H16" s="9">
        <f t="shared" si="1"/>
        <v>923010</v>
      </c>
      <c r="I16" s="9">
        <f t="shared" si="1"/>
        <v>0</v>
      </c>
      <c r="J16" s="9">
        <f>L16+O16</f>
        <v>4575934</v>
      </c>
      <c r="K16" s="9">
        <f>K17+K20+K21+K22+K23+K25+K27+K28+K30+K31+K34+K35+K37+K38+K39+K40+K41+K42+K44+K45+K46+K47+K18+K43+K19+K52+K49+K50+K51</f>
        <v>4397434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4397434</v>
      </c>
      <c r="P16" s="9">
        <f>E16+J16</f>
        <v>19144698</v>
      </c>
    </row>
    <row r="17" spans="1:16" ht="68.25" customHeight="1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9170498</v>
      </c>
      <c r="F17" s="48">
        <f>9622673-10000-404064-1823611+8000+48000-2500+20000+1220000+268000+224000</f>
        <v>9170498</v>
      </c>
      <c r="G17" s="24">
        <f>7478100-331200-1495000-2050+1220000</f>
        <v>6869850</v>
      </c>
      <c r="H17" s="24">
        <f>162000+8000+60+62000</f>
        <v>232060</v>
      </c>
      <c r="I17" s="24">
        <v>0</v>
      </c>
      <c r="J17" s="23">
        <f>L17+O17</f>
        <v>619900</v>
      </c>
      <c r="K17" s="24">
        <f>600000+19900</f>
        <v>619900</v>
      </c>
      <c r="L17" s="24"/>
      <c r="M17" s="24">
        <v>0</v>
      </c>
      <c r="N17" s="24">
        <v>0</v>
      </c>
      <c r="O17" s="24">
        <f>600000+19900</f>
        <v>619900</v>
      </c>
      <c r="P17" s="23">
        <f>E17+J17</f>
        <v>9790398</v>
      </c>
    </row>
    <row r="18" spans="1:16" ht="29.25" customHeight="1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100000</v>
      </c>
      <c r="F18" s="48">
        <f>10000+40000+50000</f>
        <v>100000</v>
      </c>
      <c r="G18" s="24"/>
      <c r="H18" s="24"/>
      <c r="I18" s="24"/>
      <c r="J18" s="23"/>
      <c r="K18" s="24"/>
      <c r="L18" s="24"/>
      <c r="M18" s="24"/>
      <c r="N18" s="24"/>
      <c r="O18" s="24"/>
      <c r="P18" s="23">
        <f>E18+J18</f>
        <v>100000</v>
      </c>
    </row>
    <row r="19" spans="1:16" ht="48" customHeight="1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45000</v>
      </c>
      <c r="F19" s="48">
        <v>45000</v>
      </c>
      <c r="G19" s="24"/>
      <c r="H19" s="24"/>
      <c r="I19" s="24"/>
      <c r="J19" s="23"/>
      <c r="K19" s="24"/>
      <c r="L19" s="24"/>
      <c r="M19" s="24"/>
      <c r="N19" s="24"/>
      <c r="O19" s="24"/>
      <c r="P19" s="23">
        <f>E19+J19</f>
        <v>45000</v>
      </c>
    </row>
    <row r="20" spans="1:16" ht="29.25" customHeight="1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2039467</v>
      </c>
      <c r="F20" s="39">
        <f>2019467+20000</f>
        <v>2039467</v>
      </c>
      <c r="G20" s="24">
        <v>1496882</v>
      </c>
      <c r="H20" s="24">
        <v>70950</v>
      </c>
      <c r="I20" s="24"/>
      <c r="J20" s="23">
        <f t="shared" ref="J20:J104" si="2">L20+O20</f>
        <v>0</v>
      </c>
      <c r="K20" s="24"/>
      <c r="L20" s="24"/>
      <c r="M20" s="24"/>
      <c r="N20" s="24"/>
      <c r="O20" s="24"/>
      <c r="P20" s="23">
        <f t="shared" ref="P20:P53" si="3">E20+J20</f>
        <v>2039467</v>
      </c>
    </row>
    <row r="21" spans="1:16" ht="0.75" customHeight="1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265467</v>
      </c>
      <c r="F22" s="39">
        <f>2500+116567+146400</f>
        <v>265467</v>
      </c>
      <c r="G22" s="24">
        <f>2050+95547+120000</f>
        <v>217597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265467</v>
      </c>
    </row>
    <row r="23" spans="1:16" ht="44.25" hidden="1" customHeight="1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150000</v>
      </c>
      <c r="F38" s="39">
        <f>200000-50000-50000+50000</f>
        <v>150000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150000</v>
      </c>
    </row>
    <row r="39" spans="1:16" ht="18" customHeight="1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1347054</v>
      </c>
      <c r="F39" s="39">
        <f>1174824-99578+95160-50000-75000-116567+500000-16700-7800-3200-35380-16600-50000-22105-30000+100000</f>
        <v>1347054</v>
      </c>
      <c r="G39" s="24">
        <f>72000+78000-95547</f>
        <v>54453</v>
      </c>
      <c r="H39" s="24">
        <f>320000+200000+100000</f>
        <v>620000</v>
      </c>
      <c r="I39" s="24">
        <v>0</v>
      </c>
      <c r="J39" s="23">
        <f t="shared" si="2"/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3"/>
        <v>1347054</v>
      </c>
    </row>
    <row r="40" spans="1:16" ht="16.5" customHeight="1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62700</v>
      </c>
      <c r="F40" s="39">
        <f>200000-40000-147100+3200+16600+30000</f>
        <v>62700</v>
      </c>
      <c r="G40" s="24">
        <v>0</v>
      </c>
      <c r="H40" s="24">
        <v>0</v>
      </c>
      <c r="I40" s="24">
        <v>0</v>
      </c>
      <c r="J40" s="23">
        <f t="shared" si="2"/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3">
        <f t="shared" si="3"/>
        <v>62700</v>
      </c>
    </row>
    <row r="41" spans="1:16" ht="27" hidden="1" customHeight="1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/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si="2"/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2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2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2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2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2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2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200000</v>
      </c>
      <c r="F51" s="39">
        <v>200000</v>
      </c>
      <c r="G51" s="24"/>
      <c r="H51" s="24"/>
      <c r="I51" s="24"/>
      <c r="J51" s="23">
        <f t="shared" si="2"/>
        <v>280000</v>
      </c>
      <c r="K51" s="24">
        <f>250000+30000</f>
        <v>280000</v>
      </c>
      <c r="L51" s="24"/>
      <c r="M51" s="24"/>
      <c r="N51" s="24"/>
      <c r="O51" s="24">
        <f>250000+30000</f>
        <v>280000</v>
      </c>
      <c r="P51" s="23">
        <f t="shared" si="3"/>
        <v>480000</v>
      </c>
    </row>
    <row r="52" spans="1:18" ht="49.5" customHeight="1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/>
      <c r="G52" s="24"/>
      <c r="H52" s="24"/>
      <c r="I52" s="24"/>
      <c r="J52" s="23">
        <f t="shared" si="2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49.5" customHeight="1">
      <c r="A53" s="49" t="s">
        <v>203</v>
      </c>
      <c r="B53" s="34">
        <v>7540</v>
      </c>
      <c r="C53" s="62" t="s">
        <v>204</v>
      </c>
      <c r="D53" s="63" t="s">
        <v>205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2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>
      <c r="A54" s="56" t="s">
        <v>95</v>
      </c>
      <c r="B54" s="6"/>
      <c r="C54" s="7"/>
      <c r="D54" s="8" t="s">
        <v>135</v>
      </c>
      <c r="E54" s="9">
        <f>E55</f>
        <v>37759273</v>
      </c>
      <c r="F54" s="43">
        <f t="shared" ref="F54:O54" si="5">F55</f>
        <v>37759273</v>
      </c>
      <c r="G54" s="9">
        <f t="shared" si="5"/>
        <v>27231529</v>
      </c>
      <c r="H54" s="9">
        <f t="shared" si="5"/>
        <v>1908000</v>
      </c>
      <c r="I54" s="9">
        <f t="shared" si="5"/>
        <v>0</v>
      </c>
      <c r="J54" s="23">
        <f t="shared" si="2"/>
        <v>4933563</v>
      </c>
      <c r="K54" s="9">
        <f t="shared" si="5"/>
        <v>4146780</v>
      </c>
      <c r="L54" s="9">
        <f t="shared" si="5"/>
        <v>786783</v>
      </c>
      <c r="M54" s="9">
        <f t="shared" si="5"/>
        <v>0</v>
      </c>
      <c r="N54" s="9">
        <f t="shared" si="5"/>
        <v>0</v>
      </c>
      <c r="O54" s="9">
        <f t="shared" si="5"/>
        <v>4146780</v>
      </c>
      <c r="P54" s="9">
        <f>E54+J54</f>
        <v>42692836</v>
      </c>
    </row>
    <row r="55" spans="1:18" ht="29.25" customHeight="1">
      <c r="A55" s="56" t="s">
        <v>96</v>
      </c>
      <c r="B55" s="6"/>
      <c r="C55" s="7"/>
      <c r="D55" s="8" t="s">
        <v>135</v>
      </c>
      <c r="E55" s="9">
        <f>E56+E57+E68+E69+E70+E71+E72+E67+E65+E66+E75+E63+E73+E74+E64+E62</f>
        <v>37759273</v>
      </c>
      <c r="F55" s="9">
        <f>F56+F57+F68+F69+F70+F71+F72+F67+F65+F66+F75+F63+F73+F74+F64+F62</f>
        <v>37759273</v>
      </c>
      <c r="G55" s="9">
        <f t="shared" ref="G55:J55" si="6">G56+G57+G68+G69+G70+G71+G72+G67+G65+G66+G75+G63+G73+G74</f>
        <v>27231529</v>
      </c>
      <c r="H55" s="9">
        <f t="shared" si="6"/>
        <v>1908000</v>
      </c>
      <c r="I55" s="9">
        <f t="shared" si="6"/>
        <v>0</v>
      </c>
      <c r="J55" s="9">
        <f t="shared" si="6"/>
        <v>4615543</v>
      </c>
      <c r="K55" s="9">
        <f>K56+K57+K68+K69+K70+K71+K72+K67+K65+K66+K75+K63+K73+K74+K64+K62</f>
        <v>4146780</v>
      </c>
      <c r="L55" s="9">
        <f t="shared" ref="L55:O55" si="7">L56+L57+L68+L69+L70+L71+L72+L67+L65+L66+L75+L63+L73+L74+L64+L62</f>
        <v>786783</v>
      </c>
      <c r="M55" s="9">
        <f t="shared" si="7"/>
        <v>0</v>
      </c>
      <c r="N55" s="9">
        <f t="shared" si="7"/>
        <v>0</v>
      </c>
      <c r="O55" s="9">
        <f t="shared" si="7"/>
        <v>4146780</v>
      </c>
      <c r="P55" s="9">
        <f>E55+J55</f>
        <v>42374816</v>
      </c>
      <c r="R55" s="18"/>
    </row>
    <row r="56" spans="1:18">
      <c r="A56" s="51" t="s">
        <v>97</v>
      </c>
      <c r="B56" s="20" t="s">
        <v>42</v>
      </c>
      <c r="C56" s="21" t="s">
        <v>98</v>
      </c>
      <c r="D56" s="22" t="s">
        <v>99</v>
      </c>
      <c r="E56" s="23">
        <f>F56+I56</f>
        <v>5315200</v>
      </c>
      <c r="F56" s="39">
        <f>4804153+107000+57747+26000-100000+59000+31800+278000+1500+50000</f>
        <v>5315200</v>
      </c>
      <c r="G56" s="24">
        <f>3401100+107000+130000</f>
        <v>3638100</v>
      </c>
      <c r="H56" s="24">
        <f>324000+8000</f>
        <v>332000</v>
      </c>
      <c r="I56" s="24">
        <v>0</v>
      </c>
      <c r="J56" s="23">
        <f t="shared" si="2"/>
        <v>232500</v>
      </c>
      <c r="K56" s="24">
        <f>15000+49000+9500</f>
        <v>73500</v>
      </c>
      <c r="L56" s="24">
        <v>159000</v>
      </c>
      <c r="M56" s="24">
        <v>0</v>
      </c>
      <c r="N56" s="24">
        <v>0</v>
      </c>
      <c r="O56" s="24">
        <f>15000+49000+9500</f>
        <v>73500</v>
      </c>
      <c r="P56" s="23">
        <f>E56+J56</f>
        <v>5547700</v>
      </c>
    </row>
    <row r="57" spans="1:18" ht="30.75" customHeight="1">
      <c r="A57" s="57" t="s">
        <v>100</v>
      </c>
      <c r="B57" s="20">
        <v>1021</v>
      </c>
      <c r="C57" s="21" t="s">
        <v>101</v>
      </c>
      <c r="D57" s="22" t="s">
        <v>102</v>
      </c>
      <c r="E57" s="23">
        <f>F57+I57</f>
        <v>9106704</v>
      </c>
      <c r="F57" s="39">
        <f>9154200+100000+70000-50000- 210350+25580+122274+13000+19259+13500+15000+8000-319000+10000+150000+54000-68759</f>
        <v>9106704</v>
      </c>
      <c r="G57" s="24">
        <f>5500000-260000</f>
        <v>5240000</v>
      </c>
      <c r="H57" s="24">
        <f>1492000+4500+17700</f>
        <v>1514200</v>
      </c>
      <c r="I57" s="24">
        <v>0</v>
      </c>
      <c r="J57" s="23">
        <f>L57+O57</f>
        <v>925783</v>
      </c>
      <c r="K57" s="24">
        <f>250000+99000+8000+40000-99000</f>
        <v>298000</v>
      </c>
      <c r="L57" s="24">
        <v>627783</v>
      </c>
      <c r="M57" s="24">
        <f t="shared" ref="M57:N57" si="8">M59+M60+M61</f>
        <v>0</v>
      </c>
      <c r="N57" s="24">
        <f t="shared" si="8"/>
        <v>0</v>
      </c>
      <c r="O57" s="24">
        <f>250000+99000+8000+40000-99000</f>
        <v>298000</v>
      </c>
      <c r="P57" s="23">
        <f>E57+J57</f>
        <v>10032487</v>
      </c>
      <c r="R57" s="18"/>
    </row>
    <row r="58" spans="1:18" ht="66.75" customHeight="1">
      <c r="A58" s="58"/>
      <c r="B58" s="10"/>
      <c r="C58" s="11"/>
      <c r="D58" s="12" t="s">
        <v>103</v>
      </c>
      <c r="E58" s="23">
        <f t="shared" ref="E58:E97" si="9">F58+I58</f>
        <v>999200</v>
      </c>
      <c r="F58" s="42">
        <v>999200</v>
      </c>
      <c r="G58" s="13"/>
      <c r="H58" s="13">
        <v>999200</v>
      </c>
      <c r="I58" s="13"/>
      <c r="J58" s="23">
        <f t="shared" si="2"/>
        <v>0</v>
      </c>
      <c r="K58" s="13"/>
      <c r="L58" s="13"/>
      <c r="M58" s="13"/>
      <c r="N58" s="13"/>
      <c r="O58" s="13"/>
      <c r="P58" s="23">
        <f t="shared" ref="P58:P75" si="10">E58+J58</f>
        <v>999200</v>
      </c>
      <c r="R58" s="18"/>
    </row>
    <row r="59" spans="1:18" ht="56.25" hidden="1" customHeight="1">
      <c r="A59" s="52"/>
      <c r="B59" s="10"/>
      <c r="C59" s="11"/>
      <c r="D59" s="12"/>
      <c r="E59" s="23">
        <f t="shared" si="9"/>
        <v>0</v>
      </c>
      <c r="F59" s="42"/>
      <c r="G59" s="13"/>
      <c r="H59" s="13"/>
      <c r="I59" s="13"/>
      <c r="J59" s="23">
        <f t="shared" si="2"/>
        <v>0</v>
      </c>
      <c r="K59" s="13"/>
      <c r="L59" s="13"/>
      <c r="M59" s="13"/>
      <c r="N59" s="13"/>
      <c r="O59" s="13"/>
      <c r="P59" s="23">
        <f t="shared" si="10"/>
        <v>0</v>
      </c>
    </row>
    <row r="60" spans="1:18" ht="56.25" customHeight="1">
      <c r="A60" s="52"/>
      <c r="B60" s="10"/>
      <c r="C60" s="11"/>
      <c r="D60" s="12" t="s">
        <v>189</v>
      </c>
      <c r="E60" s="23">
        <f t="shared" si="9"/>
        <v>0</v>
      </c>
      <c r="F60" s="42"/>
      <c r="G60" s="13"/>
      <c r="H60" s="13"/>
      <c r="I60" s="13"/>
      <c r="J60" s="23">
        <f t="shared" si="2"/>
        <v>250000</v>
      </c>
      <c r="K60" s="13">
        <v>250000</v>
      </c>
      <c r="L60" s="13"/>
      <c r="M60" s="13"/>
      <c r="N60" s="13"/>
      <c r="O60" s="13">
        <v>250000</v>
      </c>
      <c r="P60" s="23">
        <f t="shared" si="10"/>
        <v>250000</v>
      </c>
    </row>
    <row r="61" spans="1:18" ht="56.25" customHeight="1">
      <c r="A61" s="52"/>
      <c r="B61" s="10"/>
      <c r="C61" s="11"/>
      <c r="D61" s="12" t="s">
        <v>191</v>
      </c>
      <c r="E61" s="23">
        <f t="shared" si="9"/>
        <v>0</v>
      </c>
      <c r="F61" s="42">
        <f>13000+19259+13500+15000+8000-68759</f>
        <v>0</v>
      </c>
      <c r="G61" s="13"/>
      <c r="H61" s="13"/>
      <c r="I61" s="13"/>
      <c r="J61" s="23">
        <f t="shared" si="2"/>
        <v>0</v>
      </c>
      <c r="K61" s="13">
        <f>54000+45000-99000</f>
        <v>0</v>
      </c>
      <c r="L61" s="13"/>
      <c r="M61" s="13"/>
      <c r="N61" s="13"/>
      <c r="O61" s="13">
        <f>54000+45000-99000</f>
        <v>0</v>
      </c>
      <c r="P61" s="23">
        <f t="shared" si="10"/>
        <v>0</v>
      </c>
    </row>
    <row r="62" spans="1:18" ht="56.25" customHeight="1">
      <c r="A62" s="72" t="s">
        <v>206</v>
      </c>
      <c r="B62" s="10">
        <v>1061</v>
      </c>
      <c r="C62" s="61" t="s">
        <v>101</v>
      </c>
      <c r="D62" s="22" t="s">
        <v>102</v>
      </c>
      <c r="E62" s="23">
        <f t="shared" si="9"/>
        <v>116671</v>
      </c>
      <c r="F62" s="42">
        <f>68759+41412+6500</f>
        <v>116671</v>
      </c>
      <c r="G62" s="13"/>
      <c r="H62" s="13"/>
      <c r="I62" s="13"/>
      <c r="J62" s="23">
        <f t="shared" si="2"/>
        <v>57588</v>
      </c>
      <c r="K62" s="13">
        <f>99000-41412</f>
        <v>57588</v>
      </c>
      <c r="L62" s="13"/>
      <c r="M62" s="13"/>
      <c r="N62" s="13"/>
      <c r="O62" s="13">
        <f>99000-41412</f>
        <v>57588</v>
      </c>
      <c r="P62" s="23">
        <f t="shared" si="10"/>
        <v>174259</v>
      </c>
    </row>
    <row r="63" spans="1:18" ht="62.25" customHeight="1">
      <c r="A63" s="57" t="s">
        <v>199</v>
      </c>
      <c r="B63" s="20">
        <v>1181</v>
      </c>
      <c r="C63" s="25" t="s">
        <v>106</v>
      </c>
      <c r="D63" s="22" t="s">
        <v>200</v>
      </c>
      <c r="E63" s="23">
        <f t="shared" si="9"/>
        <v>0</v>
      </c>
      <c r="F63" s="42">
        <f>17207+11560-28767</f>
        <v>0</v>
      </c>
      <c r="G63" s="13"/>
      <c r="H63" s="13"/>
      <c r="I63" s="13"/>
      <c r="J63" s="23">
        <f t="shared" si="2"/>
        <v>28937</v>
      </c>
      <c r="K63" s="13">
        <f>28767+170</f>
        <v>28937</v>
      </c>
      <c r="L63" s="13"/>
      <c r="M63" s="13"/>
      <c r="N63" s="13"/>
      <c r="O63" s="13">
        <v>28937</v>
      </c>
      <c r="P63" s="23">
        <f t="shared" si="10"/>
        <v>28937</v>
      </c>
    </row>
    <row r="64" spans="1:18" ht="62.25" customHeight="1">
      <c r="A64" s="57"/>
      <c r="B64" s="20">
        <v>1182</v>
      </c>
      <c r="C64" s="25" t="s">
        <v>106</v>
      </c>
      <c r="D64" s="22" t="s">
        <v>202</v>
      </c>
      <c r="E64" s="23">
        <f t="shared" si="9"/>
        <v>72734</v>
      </c>
      <c r="F64" s="42">
        <v>72734</v>
      </c>
      <c r="G64" s="13"/>
      <c r="H64" s="13"/>
      <c r="I64" s="13"/>
      <c r="J64" s="23">
        <f t="shared" si="2"/>
        <v>260432</v>
      </c>
      <c r="K64" s="13">
        <v>260432</v>
      </c>
      <c r="L64" s="13"/>
      <c r="M64" s="13"/>
      <c r="N64" s="13"/>
      <c r="O64" s="13">
        <v>260432</v>
      </c>
      <c r="P64" s="23">
        <f t="shared" si="10"/>
        <v>333166</v>
      </c>
    </row>
    <row r="65" spans="1:16" ht="56.25" customHeight="1">
      <c r="A65" s="57" t="s">
        <v>154</v>
      </c>
      <c r="B65" s="20">
        <v>1200</v>
      </c>
      <c r="C65" s="25" t="s">
        <v>106</v>
      </c>
      <c r="D65" s="22" t="s">
        <v>155</v>
      </c>
      <c r="E65" s="23">
        <f t="shared" si="9"/>
        <v>35224</v>
      </c>
      <c r="F65" s="42">
        <f>35224</f>
        <v>35224</v>
      </c>
      <c r="G65" s="13"/>
      <c r="H65" s="13"/>
      <c r="I65" s="13"/>
      <c r="J65" s="23">
        <f t="shared" si="2"/>
        <v>17874</v>
      </c>
      <c r="K65" s="13">
        <f>17874</f>
        <v>17874</v>
      </c>
      <c r="L65" s="13"/>
      <c r="M65" s="13"/>
      <c r="N65" s="13"/>
      <c r="O65" s="13">
        <f>17874</f>
        <v>17874</v>
      </c>
      <c r="P65" s="23">
        <f t="shared" si="10"/>
        <v>53098</v>
      </c>
    </row>
    <row r="66" spans="1:16" ht="56.25" customHeight="1">
      <c r="A66" s="53" t="s">
        <v>174</v>
      </c>
      <c r="B66" s="20">
        <v>1210</v>
      </c>
      <c r="C66" s="46" t="s">
        <v>106</v>
      </c>
      <c r="D66" s="22" t="s">
        <v>173</v>
      </c>
      <c r="E66" s="23">
        <f t="shared" si="9"/>
        <v>20052</v>
      </c>
      <c r="F66" s="42">
        <v>20052</v>
      </c>
      <c r="G66" s="13"/>
      <c r="H66" s="13"/>
      <c r="I66" s="13"/>
      <c r="J66" s="23">
        <f t="shared" si="2"/>
        <v>16646</v>
      </c>
      <c r="K66" s="13">
        <v>16646</v>
      </c>
      <c r="L66" s="13"/>
      <c r="M66" s="13"/>
      <c r="N66" s="13"/>
      <c r="O66" s="13">
        <v>16646</v>
      </c>
      <c r="P66" s="23">
        <f t="shared" si="10"/>
        <v>36698</v>
      </c>
    </row>
    <row r="67" spans="1:16" ht="27.75" customHeight="1">
      <c r="A67" s="57" t="s">
        <v>104</v>
      </c>
      <c r="B67" s="20">
        <v>1031</v>
      </c>
      <c r="C67" s="21" t="s">
        <v>101</v>
      </c>
      <c r="D67" s="22" t="s">
        <v>138</v>
      </c>
      <c r="E67" s="23">
        <f t="shared" si="9"/>
        <v>20259200</v>
      </c>
      <c r="F67" s="39">
        <v>20259200</v>
      </c>
      <c r="G67" s="24">
        <v>16600000</v>
      </c>
      <c r="H67" s="24"/>
      <c r="I67" s="24"/>
      <c r="J67" s="23">
        <f t="shared" si="2"/>
        <v>0</v>
      </c>
      <c r="K67" s="24"/>
      <c r="L67" s="24"/>
      <c r="M67" s="24"/>
      <c r="N67" s="24"/>
      <c r="O67" s="24"/>
      <c r="P67" s="23">
        <f t="shared" si="10"/>
        <v>20259200</v>
      </c>
    </row>
    <row r="68" spans="1:16" ht="46.5" hidden="1" customHeight="1">
      <c r="A68" s="51"/>
      <c r="B68" s="20"/>
      <c r="C68" s="21"/>
      <c r="D68" s="22"/>
      <c r="E68" s="23">
        <f t="shared" si="9"/>
        <v>0</v>
      </c>
      <c r="F68" s="39"/>
      <c r="G68" s="24"/>
      <c r="H68" s="24"/>
      <c r="I68" s="24">
        <v>0</v>
      </c>
      <c r="J68" s="23">
        <f t="shared" si="2"/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3">
        <f t="shared" si="10"/>
        <v>0</v>
      </c>
    </row>
    <row r="69" spans="1:16" hidden="1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2"/>
        <v>0</v>
      </c>
      <c r="K69" s="24">
        <v>0</v>
      </c>
      <c r="L69" s="24"/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t="25.5">
      <c r="A70" s="51" t="s">
        <v>105</v>
      </c>
      <c r="B70" s="20">
        <v>1141</v>
      </c>
      <c r="C70" s="21" t="s">
        <v>106</v>
      </c>
      <c r="D70" s="22" t="s">
        <v>107</v>
      </c>
      <c r="E70" s="23">
        <f t="shared" si="9"/>
        <v>943213</v>
      </c>
      <c r="F70" s="39">
        <f>816213+11800+2000+73200+2500+5500+32000</f>
        <v>943213</v>
      </c>
      <c r="G70" s="24">
        <f>584601+60000</f>
        <v>644601</v>
      </c>
      <c r="H70" s="24">
        <f>33000-30000</f>
        <v>3000</v>
      </c>
      <c r="I70" s="24">
        <v>0</v>
      </c>
      <c r="J70" s="23">
        <f t="shared" si="2"/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3">
        <f t="shared" si="10"/>
        <v>943213</v>
      </c>
    </row>
    <row r="71" spans="1:16" ht="21" customHeight="1">
      <c r="A71" s="51" t="s">
        <v>108</v>
      </c>
      <c r="B71" s="20" t="s">
        <v>109</v>
      </c>
      <c r="C71" s="21" t="s">
        <v>110</v>
      </c>
      <c r="D71" s="22" t="s">
        <v>111</v>
      </c>
      <c r="E71" s="23">
        <f t="shared" si="9"/>
        <v>899966</v>
      </c>
      <c r="F71" s="39">
        <f>679810+140056+6600+36000+37500</f>
        <v>899966</v>
      </c>
      <c r="G71" s="24">
        <f>533820+114800+36000</f>
        <v>684620</v>
      </c>
      <c r="H71" s="24">
        <f>26750+4100</f>
        <v>30850</v>
      </c>
      <c r="I71" s="24">
        <v>0</v>
      </c>
      <c r="J71" s="23">
        <f t="shared" si="2"/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3">
        <f t="shared" si="10"/>
        <v>899966</v>
      </c>
    </row>
    <row r="72" spans="1:16" ht="41.25" customHeight="1">
      <c r="A72" s="51" t="s">
        <v>112</v>
      </c>
      <c r="B72" s="20" t="s">
        <v>113</v>
      </c>
      <c r="C72" s="21" t="s">
        <v>114</v>
      </c>
      <c r="D72" s="22" t="s">
        <v>115</v>
      </c>
      <c r="E72" s="23">
        <f t="shared" si="9"/>
        <v>819104</v>
      </c>
      <c r="F72" s="39">
        <f>681004-73200-6600+98000+40000+16700+63200</f>
        <v>819104</v>
      </c>
      <c r="G72" s="24">
        <f>525208-60000-41000</f>
        <v>424208</v>
      </c>
      <c r="H72" s="24">
        <f>20250+7700</f>
        <v>27950</v>
      </c>
      <c r="I72" s="24">
        <v>0</v>
      </c>
      <c r="J72" s="23">
        <f t="shared" si="2"/>
        <v>0</v>
      </c>
      <c r="K72" s="24"/>
      <c r="L72" s="24">
        <v>0</v>
      </c>
      <c r="M72" s="24">
        <v>0</v>
      </c>
      <c r="N72" s="24">
        <v>0</v>
      </c>
      <c r="O72" s="24"/>
      <c r="P72" s="23">
        <f t="shared" si="10"/>
        <v>819104</v>
      </c>
    </row>
    <row r="73" spans="1:16" ht="41.25" customHeight="1">
      <c r="A73" s="57" t="s">
        <v>198</v>
      </c>
      <c r="B73" s="20">
        <v>7321</v>
      </c>
      <c r="C73" s="25" t="s">
        <v>74</v>
      </c>
      <c r="D73" s="22" t="s">
        <v>197</v>
      </c>
      <c r="E73" s="23">
        <f t="shared" si="9"/>
        <v>0</v>
      </c>
      <c r="F73" s="39"/>
      <c r="G73" s="24"/>
      <c r="H73" s="24"/>
      <c r="I73" s="24"/>
      <c r="J73" s="23">
        <f t="shared" si="2"/>
        <v>900000</v>
      </c>
      <c r="K73" s="24">
        <v>900000</v>
      </c>
      <c r="L73" s="24"/>
      <c r="M73" s="24"/>
      <c r="N73" s="24"/>
      <c r="O73" s="24">
        <v>900000</v>
      </c>
      <c r="P73" s="23">
        <f t="shared" si="10"/>
        <v>900000</v>
      </c>
    </row>
    <row r="74" spans="1:16" ht="41.25" customHeight="1">
      <c r="A74" s="57" t="s">
        <v>182</v>
      </c>
      <c r="B74" s="20">
        <v>7361</v>
      </c>
      <c r="C74" s="25" t="s">
        <v>81</v>
      </c>
      <c r="D74" s="22" t="s">
        <v>183</v>
      </c>
      <c r="E74" s="23">
        <f t="shared" si="9"/>
        <v>0</v>
      </c>
      <c r="F74" s="39"/>
      <c r="G74" s="24"/>
      <c r="H74" s="24"/>
      <c r="I74" s="24"/>
      <c r="J74" s="23">
        <f t="shared" si="2"/>
        <v>2493803</v>
      </c>
      <c r="K74" s="24">
        <f>1943803+550000</f>
        <v>2493803</v>
      </c>
      <c r="L74" s="24"/>
      <c r="M74" s="24"/>
      <c r="N74" s="24"/>
      <c r="O74" s="24">
        <f>1943803+550000</f>
        <v>2493803</v>
      </c>
      <c r="P74" s="23">
        <f t="shared" si="10"/>
        <v>2493803</v>
      </c>
    </row>
    <row r="75" spans="1:16" ht="21" customHeight="1">
      <c r="A75" s="55" t="s">
        <v>186</v>
      </c>
      <c r="B75" s="34">
        <v>7370</v>
      </c>
      <c r="C75" s="41" t="s">
        <v>81</v>
      </c>
      <c r="D75" s="37" t="s">
        <v>187</v>
      </c>
      <c r="E75" s="23">
        <f t="shared" si="9"/>
        <v>171205</v>
      </c>
      <c r="F75" s="39">
        <f>99100+50000+22105</f>
        <v>171205</v>
      </c>
      <c r="G75" s="24">
        <v>0</v>
      </c>
      <c r="H75" s="24">
        <v>0</v>
      </c>
      <c r="I75" s="24">
        <v>0</v>
      </c>
      <c r="J75" s="23">
        <f>L75+O75</f>
        <v>0</v>
      </c>
      <c r="K75" s="24">
        <f>550000-550000</f>
        <v>0</v>
      </c>
      <c r="L75" s="24">
        <v>0</v>
      </c>
      <c r="M75" s="24">
        <v>0</v>
      </c>
      <c r="N75" s="24">
        <v>0</v>
      </c>
      <c r="O75" s="24">
        <f>550000-550000</f>
        <v>0</v>
      </c>
      <c r="P75" s="23">
        <f t="shared" si="10"/>
        <v>171205</v>
      </c>
    </row>
    <row r="76" spans="1:16" ht="24.75" customHeight="1">
      <c r="A76" s="55" t="s">
        <v>156</v>
      </c>
      <c r="B76" s="34"/>
      <c r="C76" s="35"/>
      <c r="D76" s="45" t="s">
        <v>157</v>
      </c>
      <c r="E76" s="23">
        <f>E77</f>
        <v>1457634</v>
      </c>
      <c r="F76" s="23">
        <f t="shared" ref="F76:O76" si="11">F77</f>
        <v>1457634</v>
      </c>
      <c r="G76" s="23">
        <f t="shared" si="11"/>
        <v>298400</v>
      </c>
      <c r="H76" s="23">
        <f t="shared" si="11"/>
        <v>0</v>
      </c>
      <c r="I76" s="23">
        <f t="shared" si="11"/>
        <v>0</v>
      </c>
      <c r="J76" s="23">
        <f t="shared" si="11"/>
        <v>0</v>
      </c>
      <c r="K76" s="23">
        <f t="shared" si="11"/>
        <v>0</v>
      </c>
      <c r="L76" s="23">
        <f t="shared" si="11"/>
        <v>0</v>
      </c>
      <c r="M76" s="23">
        <f t="shared" si="11"/>
        <v>0</v>
      </c>
      <c r="N76" s="23">
        <f t="shared" si="11"/>
        <v>0</v>
      </c>
      <c r="O76" s="23">
        <f t="shared" si="11"/>
        <v>0</v>
      </c>
      <c r="P76" s="23">
        <f t="shared" ref="P76" si="12">P77</f>
        <v>1457634</v>
      </c>
    </row>
    <row r="77" spans="1:16" ht="26.25" customHeight="1">
      <c r="A77" s="55" t="s">
        <v>158</v>
      </c>
      <c r="B77" s="34"/>
      <c r="C77" s="35"/>
      <c r="D77" s="45" t="s">
        <v>159</v>
      </c>
      <c r="E77" s="23">
        <f>E78+E80+E81+E82+E84+E86+E87+E89+E90+E94+E79</f>
        <v>1457634</v>
      </c>
      <c r="F77" s="23">
        <f>F78+F80+F81+F82+F84+F86+F87+F89+F90+F94+F79</f>
        <v>1457634</v>
      </c>
      <c r="G77" s="23">
        <f t="shared" ref="G77:O77" si="13">G78+G80+G81+G82+G84+G86+G87+G89+G90+G94</f>
        <v>298400</v>
      </c>
      <c r="H77" s="23">
        <f t="shared" si="13"/>
        <v>0</v>
      </c>
      <c r="I77" s="23">
        <f t="shared" si="13"/>
        <v>0</v>
      </c>
      <c r="J77" s="23">
        <f>J78+J80+J81+J82+J84+J86+J87+J89+J90+J94+J79</f>
        <v>0</v>
      </c>
      <c r="K77" s="23">
        <f>K78+K79</f>
        <v>0</v>
      </c>
      <c r="L77" s="23">
        <f t="shared" si="13"/>
        <v>0</v>
      </c>
      <c r="M77" s="23">
        <f t="shared" si="13"/>
        <v>0</v>
      </c>
      <c r="N77" s="23">
        <f t="shared" si="13"/>
        <v>0</v>
      </c>
      <c r="O77" s="23">
        <f t="shared" si="13"/>
        <v>0</v>
      </c>
      <c r="P77" s="23">
        <f>P78+P80+P81+P82+P84+P86+P87+P89+P90+P94+P79</f>
        <v>1457634</v>
      </c>
    </row>
    <row r="78" spans="1:16" ht="41.25" customHeight="1">
      <c r="A78" s="55" t="s">
        <v>160</v>
      </c>
      <c r="B78" s="41" t="s">
        <v>27</v>
      </c>
      <c r="C78" s="41" t="s">
        <v>23</v>
      </c>
      <c r="D78" s="37" t="s">
        <v>120</v>
      </c>
      <c r="E78" s="23">
        <f>F78+I78</f>
        <v>385848</v>
      </c>
      <c r="F78" s="39">
        <f>539484-35136-91500+9000+4000-40000</f>
        <v>385848</v>
      </c>
      <c r="G78" s="24">
        <f>442200-28800-75000-40000</f>
        <v>298400</v>
      </c>
      <c r="H78" s="24"/>
      <c r="I78" s="24"/>
      <c r="J78" s="23">
        <f>L78+O78</f>
        <v>0</v>
      </c>
      <c r="K78" s="24"/>
      <c r="L78" s="24"/>
      <c r="M78" s="24"/>
      <c r="N78" s="24"/>
      <c r="O78" s="24"/>
      <c r="P78" s="23">
        <f>E78+J78</f>
        <v>385848</v>
      </c>
    </row>
    <row r="79" spans="1:16" ht="41.25" customHeight="1">
      <c r="A79" s="49" t="s">
        <v>175</v>
      </c>
      <c r="B79" s="33" t="s">
        <v>176</v>
      </c>
      <c r="C79" s="33" t="s">
        <v>177</v>
      </c>
      <c r="D79" s="36" t="s">
        <v>178</v>
      </c>
      <c r="E79" s="23">
        <f>F79+I79</f>
        <v>794660</v>
      </c>
      <c r="F79" s="39">
        <f>316224+35136+374300+69000</f>
        <v>794660</v>
      </c>
      <c r="G79" s="24">
        <f>288000+306500+30000</f>
        <v>624500</v>
      </c>
      <c r="H79" s="24"/>
      <c r="I79" s="24"/>
      <c r="J79" s="23">
        <f>L79+O79</f>
        <v>0</v>
      </c>
      <c r="K79" s="24"/>
      <c r="L79" s="24"/>
      <c r="M79" s="24"/>
      <c r="N79" s="24"/>
      <c r="O79" s="24"/>
      <c r="P79" s="23">
        <f>E79+J79</f>
        <v>794660</v>
      </c>
    </row>
    <row r="80" spans="1:16" ht="41.25" customHeight="1">
      <c r="A80" s="49" t="s">
        <v>163</v>
      </c>
      <c r="B80" s="34">
        <v>3032</v>
      </c>
      <c r="C80" s="41">
        <v>1070</v>
      </c>
      <c r="D80" s="36" t="s">
        <v>146</v>
      </c>
      <c r="E80" s="23">
        <f>F80+I80</f>
        <v>2126</v>
      </c>
      <c r="F80" s="39">
        <v>2126</v>
      </c>
      <c r="G80" s="24"/>
      <c r="H80" s="24"/>
      <c r="I80" s="24"/>
      <c r="J80" s="23">
        <f t="shared" ref="J80:J94" si="14">L80+O80</f>
        <v>0</v>
      </c>
      <c r="K80" s="24"/>
      <c r="L80" s="24"/>
      <c r="M80" s="24"/>
      <c r="N80" s="24"/>
      <c r="O80" s="24"/>
      <c r="P80" s="23">
        <f t="shared" ref="P80:P94" si="15">E80+J80</f>
        <v>2126</v>
      </c>
    </row>
    <row r="81" spans="1:16" ht="41.25" customHeight="1">
      <c r="A81" s="50" t="s">
        <v>164</v>
      </c>
      <c r="B81" s="34" t="s">
        <v>28</v>
      </c>
      <c r="C81" s="35" t="s">
        <v>29</v>
      </c>
      <c r="D81" s="37" t="s">
        <v>30</v>
      </c>
      <c r="E81" s="23">
        <f t="shared" ref="E81:E94" si="16">F81+I81</f>
        <v>77000</v>
      </c>
      <c r="F81" s="39">
        <f>27000+50000</f>
        <v>77000</v>
      </c>
      <c r="G81" s="24"/>
      <c r="H81" s="24"/>
      <c r="I81" s="24"/>
      <c r="J81" s="23">
        <f t="shared" si="14"/>
        <v>0</v>
      </c>
      <c r="K81" s="24"/>
      <c r="L81" s="24"/>
      <c r="M81" s="24"/>
      <c r="N81" s="24"/>
      <c r="O81" s="24"/>
      <c r="P81" s="23">
        <f t="shared" si="15"/>
        <v>77000</v>
      </c>
    </row>
    <row r="82" spans="1:16" ht="41.25" customHeight="1">
      <c r="A82" s="51" t="s">
        <v>165</v>
      </c>
      <c r="B82" s="20" t="s">
        <v>32</v>
      </c>
      <c r="C82" s="21" t="s">
        <v>29</v>
      </c>
      <c r="D82" s="22" t="s">
        <v>33</v>
      </c>
      <c r="E82" s="23">
        <f t="shared" si="16"/>
        <v>2100</v>
      </c>
      <c r="F82" s="39">
        <f>3150-1050</f>
        <v>2100</v>
      </c>
      <c r="G82" s="24"/>
      <c r="H82" s="24"/>
      <c r="I82" s="24"/>
      <c r="J82" s="23">
        <f t="shared" si="14"/>
        <v>0</v>
      </c>
      <c r="K82" s="24"/>
      <c r="L82" s="24"/>
      <c r="M82" s="24"/>
      <c r="N82" s="24"/>
      <c r="O82" s="24"/>
      <c r="P82" s="23">
        <f t="shared" si="15"/>
        <v>2100</v>
      </c>
    </row>
    <row r="83" spans="1:16" ht="52.5" customHeight="1">
      <c r="A83" s="52"/>
      <c r="B83" s="10"/>
      <c r="C83" s="11"/>
      <c r="D83" s="12" t="s">
        <v>34</v>
      </c>
      <c r="E83" s="23">
        <f t="shared" si="16"/>
        <v>2100</v>
      </c>
      <c r="F83" s="42">
        <v>2100</v>
      </c>
      <c r="G83" s="24"/>
      <c r="H83" s="24"/>
      <c r="I83" s="24"/>
      <c r="J83" s="23">
        <f t="shared" si="14"/>
        <v>0</v>
      </c>
      <c r="K83" s="24"/>
      <c r="L83" s="24"/>
      <c r="M83" s="24"/>
      <c r="N83" s="24"/>
      <c r="O83" s="24"/>
      <c r="P83" s="23">
        <f t="shared" si="15"/>
        <v>2100</v>
      </c>
    </row>
    <row r="84" spans="1:16" ht="41.25" customHeight="1">
      <c r="A84" s="51" t="s">
        <v>166</v>
      </c>
      <c r="B84" s="20" t="s">
        <v>36</v>
      </c>
      <c r="C84" s="21" t="s">
        <v>37</v>
      </c>
      <c r="D84" s="22" t="s">
        <v>38</v>
      </c>
      <c r="E84" s="23">
        <f t="shared" si="16"/>
        <v>3600</v>
      </c>
      <c r="F84" s="39">
        <f>5400-1800</f>
        <v>3600</v>
      </c>
      <c r="G84" s="24"/>
      <c r="H84" s="24"/>
      <c r="I84" s="24"/>
      <c r="J84" s="23">
        <f t="shared" si="14"/>
        <v>0</v>
      </c>
      <c r="K84" s="24"/>
      <c r="L84" s="24"/>
      <c r="M84" s="24"/>
      <c r="N84" s="24"/>
      <c r="O84" s="24"/>
      <c r="P84" s="23">
        <f t="shared" si="15"/>
        <v>3600</v>
      </c>
    </row>
    <row r="85" spans="1:16" ht="66" customHeight="1">
      <c r="A85" s="51"/>
      <c r="B85" s="20"/>
      <c r="C85" s="21"/>
      <c r="D85" s="12" t="s">
        <v>39</v>
      </c>
      <c r="E85" s="23">
        <f t="shared" si="16"/>
        <v>3600</v>
      </c>
      <c r="F85" s="42">
        <v>3600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3600</v>
      </c>
    </row>
    <row r="86" spans="1:16" ht="71.25" customHeight="1">
      <c r="A86" s="53" t="s">
        <v>167</v>
      </c>
      <c r="B86" s="25" t="s">
        <v>147</v>
      </c>
      <c r="C86" s="25" t="s">
        <v>42</v>
      </c>
      <c r="D86" s="12" t="s">
        <v>148</v>
      </c>
      <c r="E86" s="23">
        <f t="shared" si="16"/>
        <v>111100</v>
      </c>
      <c r="F86" s="42">
        <f>39000+72100</f>
        <v>111100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111100</v>
      </c>
    </row>
    <row r="87" spans="1:16" ht="54.75" customHeight="1">
      <c r="A87" s="51" t="s">
        <v>168</v>
      </c>
      <c r="B87" s="20" t="s">
        <v>41</v>
      </c>
      <c r="C87" s="21" t="s">
        <v>42</v>
      </c>
      <c r="D87" s="22" t="s">
        <v>43</v>
      </c>
      <c r="E87" s="23">
        <f t="shared" si="16"/>
        <v>2300</v>
      </c>
      <c r="F87" s="39">
        <f>3450-1150</f>
        <v>2300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2300</v>
      </c>
    </row>
    <row r="88" spans="1:16" ht="90" customHeight="1">
      <c r="A88" s="52"/>
      <c r="B88" s="10"/>
      <c r="C88" s="11"/>
      <c r="D88" s="12" t="s">
        <v>44</v>
      </c>
      <c r="E88" s="23">
        <f t="shared" si="16"/>
        <v>2300</v>
      </c>
      <c r="F88" s="42">
        <v>2300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2300</v>
      </c>
    </row>
    <row r="89" spans="1:16" ht="65.25" customHeight="1">
      <c r="A89" s="57" t="s">
        <v>169</v>
      </c>
      <c r="B89" s="20">
        <v>3180</v>
      </c>
      <c r="C89" s="25">
        <v>1060</v>
      </c>
      <c r="D89" s="22" t="s">
        <v>149</v>
      </c>
      <c r="E89" s="23">
        <f t="shared" si="16"/>
        <v>4000</v>
      </c>
      <c r="F89" s="42">
        <v>4000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4000</v>
      </c>
    </row>
    <row r="90" spans="1:16" ht="40.5" customHeight="1">
      <c r="A90" s="51" t="s">
        <v>170</v>
      </c>
      <c r="B90" s="20" t="s">
        <v>46</v>
      </c>
      <c r="C90" s="21" t="s">
        <v>37</v>
      </c>
      <c r="D90" s="22" t="s">
        <v>47</v>
      </c>
      <c r="E90" s="23">
        <f t="shared" si="16"/>
        <v>2900</v>
      </c>
      <c r="F90" s="39">
        <f>4350-1450</f>
        <v>2900</v>
      </c>
      <c r="G90" s="24"/>
      <c r="H90" s="24"/>
      <c r="I90" s="24"/>
      <c r="J90" s="23">
        <f t="shared" si="14"/>
        <v>0</v>
      </c>
      <c r="K90" s="24"/>
      <c r="L90" s="24"/>
      <c r="M90" s="24"/>
      <c r="N90" s="24"/>
      <c r="O90" s="24"/>
      <c r="P90" s="23">
        <f t="shared" si="15"/>
        <v>2900</v>
      </c>
    </row>
    <row r="91" spans="1:16" ht="41.25" hidden="1" customHeight="1">
      <c r="A91" s="52"/>
      <c r="B91" s="10"/>
      <c r="C91" s="11"/>
      <c r="D91" s="12" t="s">
        <v>48</v>
      </c>
      <c r="E91" s="23">
        <f t="shared" si="16"/>
        <v>0</v>
      </c>
      <c r="F91" s="42"/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0</v>
      </c>
    </row>
    <row r="92" spans="1:16" ht="63" customHeight="1">
      <c r="A92" s="52"/>
      <c r="B92" s="10"/>
      <c r="C92" s="11"/>
      <c r="D92" s="12" t="s">
        <v>49</v>
      </c>
      <c r="E92" s="23">
        <f t="shared" si="16"/>
        <v>2900</v>
      </c>
      <c r="F92" s="42">
        <v>2900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2900</v>
      </c>
    </row>
    <row r="93" spans="1:16" ht="41.25" hidden="1" customHeight="1">
      <c r="A93" s="51" t="s">
        <v>50</v>
      </c>
      <c r="B93" s="20" t="s">
        <v>51</v>
      </c>
      <c r="C93" s="21" t="s">
        <v>52</v>
      </c>
      <c r="D93" s="22" t="s">
        <v>53</v>
      </c>
      <c r="E93" s="23">
        <f t="shared" si="16"/>
        <v>0</v>
      </c>
      <c r="F93" s="39"/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0</v>
      </c>
    </row>
    <row r="94" spans="1:16" ht="41.25" customHeight="1">
      <c r="A94" s="51" t="s">
        <v>171</v>
      </c>
      <c r="B94" s="20" t="s">
        <v>55</v>
      </c>
      <c r="C94" s="21" t="s">
        <v>56</v>
      </c>
      <c r="D94" s="22" t="s">
        <v>57</v>
      </c>
      <c r="E94" s="23">
        <f t="shared" si="16"/>
        <v>72000</v>
      </c>
      <c r="F94" s="39">
        <v>72000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72000</v>
      </c>
    </row>
    <row r="95" spans="1:16" ht="18" customHeight="1">
      <c r="A95" s="57" t="s">
        <v>141</v>
      </c>
      <c r="B95" s="25"/>
      <c r="C95" s="21"/>
      <c r="D95" s="38" t="s">
        <v>140</v>
      </c>
      <c r="E95" s="40">
        <f t="shared" ref="E95:I96" si="17">E96</f>
        <v>560440</v>
      </c>
      <c r="F95" s="39">
        <f t="shared" si="17"/>
        <v>560440</v>
      </c>
      <c r="G95" s="40">
        <f t="shared" si="17"/>
        <v>438650</v>
      </c>
      <c r="H95" s="40">
        <f t="shared" si="17"/>
        <v>0</v>
      </c>
      <c r="I95" s="24">
        <f t="shared" si="17"/>
        <v>0</v>
      </c>
      <c r="J95" s="23">
        <f t="shared" si="2"/>
        <v>0</v>
      </c>
      <c r="K95" s="24"/>
      <c r="L95" s="24"/>
      <c r="M95" s="24"/>
      <c r="N95" s="24"/>
      <c r="O95" s="24"/>
      <c r="P95" s="23">
        <f>E95+J95</f>
        <v>560440</v>
      </c>
    </row>
    <row r="96" spans="1:16" ht="21" customHeight="1">
      <c r="A96" s="57" t="s">
        <v>143</v>
      </c>
      <c r="B96" s="25"/>
      <c r="C96" s="21"/>
      <c r="D96" s="38" t="s">
        <v>140</v>
      </c>
      <c r="E96" s="40">
        <f t="shared" si="17"/>
        <v>560440</v>
      </c>
      <c r="F96" s="39">
        <f t="shared" si="17"/>
        <v>560440</v>
      </c>
      <c r="G96" s="40">
        <f t="shared" si="17"/>
        <v>438650</v>
      </c>
      <c r="H96" s="40">
        <f t="shared" si="17"/>
        <v>0</v>
      </c>
      <c r="I96" s="24">
        <f t="shared" si="17"/>
        <v>0</v>
      </c>
      <c r="J96" s="23">
        <f t="shared" si="2"/>
        <v>0</v>
      </c>
      <c r="K96" s="24"/>
      <c r="L96" s="24"/>
      <c r="M96" s="24"/>
      <c r="N96" s="24"/>
      <c r="O96" s="24"/>
      <c r="P96" s="23">
        <f t="shared" ref="P96:P101" si="18">E96+J96</f>
        <v>560440</v>
      </c>
    </row>
    <row r="97" spans="1:16" ht="45.75" customHeight="1">
      <c r="A97" s="57" t="s">
        <v>142</v>
      </c>
      <c r="B97" s="25" t="s">
        <v>27</v>
      </c>
      <c r="C97" s="25" t="s">
        <v>23</v>
      </c>
      <c r="D97" s="45" t="s">
        <v>120</v>
      </c>
      <c r="E97" s="39">
        <f t="shared" si="9"/>
        <v>560440</v>
      </c>
      <c r="F97" s="48">
        <f>678440-120000-4000-6500+12500</f>
        <v>560440</v>
      </c>
      <c r="G97" s="24">
        <f>527000-98350+10000</f>
        <v>438650</v>
      </c>
      <c r="H97" s="24">
        <f>10500-4000-6500</f>
        <v>0</v>
      </c>
      <c r="I97" s="24">
        <v>0</v>
      </c>
      <c r="J97" s="23">
        <f t="shared" si="2"/>
        <v>0</v>
      </c>
      <c r="K97" s="24"/>
      <c r="L97" s="24"/>
      <c r="M97" s="24"/>
      <c r="N97" s="24"/>
      <c r="O97" s="24"/>
      <c r="P97" s="23">
        <f t="shared" si="18"/>
        <v>560440</v>
      </c>
    </row>
    <row r="98" spans="1:16">
      <c r="A98" s="56" t="s">
        <v>116</v>
      </c>
      <c r="B98" s="6"/>
      <c r="C98" s="7"/>
      <c r="D98" s="8" t="s">
        <v>117</v>
      </c>
      <c r="E98" s="9">
        <f>E99</f>
        <v>3595337</v>
      </c>
      <c r="F98" s="59">
        <f t="shared" ref="F98:O98" si="19">F99</f>
        <v>3575337</v>
      </c>
      <c r="G98" s="9">
        <f t="shared" si="19"/>
        <v>441475</v>
      </c>
      <c r="H98" s="9">
        <f t="shared" si="19"/>
        <v>0</v>
      </c>
      <c r="I98" s="9">
        <f t="shared" si="19"/>
        <v>0</v>
      </c>
      <c r="J98" s="23">
        <f t="shared" si="2"/>
        <v>0</v>
      </c>
      <c r="K98" s="9">
        <f t="shared" si="19"/>
        <v>0</v>
      </c>
      <c r="L98" s="9">
        <f t="shared" si="19"/>
        <v>0</v>
      </c>
      <c r="M98" s="9">
        <f t="shared" si="19"/>
        <v>0</v>
      </c>
      <c r="N98" s="9">
        <f t="shared" si="19"/>
        <v>0</v>
      </c>
      <c r="O98" s="9">
        <f t="shared" si="19"/>
        <v>0</v>
      </c>
      <c r="P98" s="9">
        <f>E98+J98</f>
        <v>3595337</v>
      </c>
    </row>
    <row r="99" spans="1:16">
      <c r="A99" s="56" t="s">
        <v>118</v>
      </c>
      <c r="B99" s="6"/>
      <c r="C99" s="7"/>
      <c r="D99" s="8" t="s">
        <v>117</v>
      </c>
      <c r="E99" s="9">
        <f>E100+E101+E104+E102</f>
        <v>3595337</v>
      </c>
      <c r="F99" s="59">
        <f t="shared" ref="F99:O99" si="20">F100+F101+F104+F102</f>
        <v>3575337</v>
      </c>
      <c r="G99" s="9">
        <f>G100+G101+G104+G102</f>
        <v>441475</v>
      </c>
      <c r="H99" s="9">
        <f t="shared" si="20"/>
        <v>0</v>
      </c>
      <c r="I99" s="9">
        <f t="shared" si="20"/>
        <v>0</v>
      </c>
      <c r="J99" s="23">
        <f t="shared" si="2"/>
        <v>0</v>
      </c>
      <c r="K99" s="9">
        <f t="shared" si="20"/>
        <v>0</v>
      </c>
      <c r="L99" s="9">
        <f t="shared" si="20"/>
        <v>0</v>
      </c>
      <c r="M99" s="9">
        <f t="shared" si="20"/>
        <v>0</v>
      </c>
      <c r="N99" s="9">
        <f t="shared" si="20"/>
        <v>0</v>
      </c>
      <c r="O99" s="9">
        <f t="shared" si="20"/>
        <v>0</v>
      </c>
      <c r="P99" s="9">
        <f>E99+J99</f>
        <v>3595337</v>
      </c>
    </row>
    <row r="100" spans="1:16" ht="49.5" customHeight="1">
      <c r="A100" s="51" t="s">
        <v>119</v>
      </c>
      <c r="B100" s="20" t="s">
        <v>27</v>
      </c>
      <c r="C100" s="21" t="s">
        <v>23</v>
      </c>
      <c r="D100" s="22" t="s">
        <v>120</v>
      </c>
      <c r="E100" s="23">
        <f>F100+I100</f>
        <v>561940</v>
      </c>
      <c r="F100" s="48">
        <f>683440-80000-4000+3000-40500</f>
        <v>561940</v>
      </c>
      <c r="G100" s="24">
        <f>527000-65525-20000</f>
        <v>441475</v>
      </c>
      <c r="H100" s="24">
        <f>10500-4000-6500</f>
        <v>0</v>
      </c>
      <c r="I100" s="24">
        <v>0</v>
      </c>
      <c r="J100" s="23">
        <f t="shared" si="2"/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3">
        <f t="shared" si="18"/>
        <v>561940</v>
      </c>
    </row>
    <row r="101" spans="1:16">
      <c r="A101" s="51" t="s">
        <v>121</v>
      </c>
      <c r="B101" s="20" t="s">
        <v>122</v>
      </c>
      <c r="C101" s="21" t="s">
        <v>26</v>
      </c>
      <c r="D101" s="22" t="s">
        <v>123</v>
      </c>
      <c r="E101" s="23">
        <v>20000</v>
      </c>
      <c r="F101" s="39">
        <v>0</v>
      </c>
      <c r="G101" s="24">
        <v>0</v>
      </c>
      <c r="H101" s="24">
        <v>0</v>
      </c>
      <c r="I101" s="24">
        <v>0</v>
      </c>
      <c r="J101" s="23">
        <f t="shared" si="2"/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3">
        <f t="shared" si="18"/>
        <v>20000</v>
      </c>
    </row>
    <row r="102" spans="1:16" ht="69.75" customHeight="1">
      <c r="A102" s="50">
        <v>3719430</v>
      </c>
      <c r="B102" s="34">
        <v>9430</v>
      </c>
      <c r="C102" s="35" t="s">
        <v>25</v>
      </c>
      <c r="D102" s="37" t="s">
        <v>124</v>
      </c>
      <c r="E102" s="23">
        <f>F102+I102</f>
        <v>83700</v>
      </c>
      <c r="F102" s="39">
        <f>55800+27900</f>
        <v>83700</v>
      </c>
      <c r="G102" s="24"/>
      <c r="H102" s="24"/>
      <c r="I102" s="24"/>
      <c r="J102" s="23">
        <f t="shared" si="2"/>
        <v>0</v>
      </c>
      <c r="K102" s="24"/>
      <c r="L102" s="24"/>
      <c r="M102" s="24"/>
      <c r="N102" s="24"/>
      <c r="O102" s="24"/>
      <c r="P102" s="23">
        <f>E102</f>
        <v>83700</v>
      </c>
    </row>
    <row r="103" spans="1:16" ht="60.75" customHeight="1">
      <c r="A103" s="51"/>
      <c r="B103" s="20"/>
      <c r="C103" s="21"/>
      <c r="D103" s="12" t="s">
        <v>125</v>
      </c>
      <c r="E103" s="23">
        <f>F103+I103</f>
        <v>83700</v>
      </c>
      <c r="F103" s="42">
        <f>55800+27900</f>
        <v>83700</v>
      </c>
      <c r="G103" s="24"/>
      <c r="H103" s="24"/>
      <c r="I103" s="24"/>
      <c r="J103" s="23">
        <f t="shared" si="2"/>
        <v>0</v>
      </c>
      <c r="K103" s="24"/>
      <c r="L103" s="24"/>
      <c r="M103" s="24"/>
      <c r="N103" s="24"/>
      <c r="O103" s="24"/>
      <c r="P103" s="23">
        <f>E103</f>
        <v>83700</v>
      </c>
    </row>
    <row r="104" spans="1:16" ht="18.75" customHeight="1">
      <c r="A104" s="51" t="s">
        <v>126</v>
      </c>
      <c r="B104" s="20" t="s">
        <v>127</v>
      </c>
      <c r="C104" s="21" t="s">
        <v>25</v>
      </c>
      <c r="D104" s="22" t="s">
        <v>128</v>
      </c>
      <c r="E104" s="23">
        <f>F104+I104</f>
        <v>2929697</v>
      </c>
      <c r="F104" s="24">
        <f>855500+25000+10000+1275971+137143+578555+430965+35000+111126-316224-282800+35380-3000+37081</f>
        <v>2929697</v>
      </c>
      <c r="G104" s="24">
        <v>0</v>
      </c>
      <c r="H104" s="24">
        <v>0</v>
      </c>
      <c r="I104" s="47"/>
      <c r="J104" s="23">
        <f t="shared" si="2"/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3">
        <f>E104+J104</f>
        <v>2929697</v>
      </c>
    </row>
    <row r="105" spans="1:16">
      <c r="A105" s="14" t="s">
        <v>129</v>
      </c>
      <c r="B105" s="15" t="s">
        <v>129</v>
      </c>
      <c r="C105" s="16" t="s">
        <v>129</v>
      </c>
      <c r="D105" s="17" t="s">
        <v>130</v>
      </c>
      <c r="E105" s="9">
        <f>E98+E54+E15+E95+E76</f>
        <v>57941448</v>
      </c>
      <c r="F105" s="9">
        <f>F98+F54+F15+F95+F76</f>
        <v>57921448</v>
      </c>
      <c r="G105" s="9">
        <f t="shared" ref="G105:O105" si="21">G98+G54+G15+G95+G76</f>
        <v>37048836</v>
      </c>
      <c r="H105" s="9">
        <f t="shared" si="21"/>
        <v>2831010</v>
      </c>
      <c r="I105" s="9">
        <f t="shared" si="21"/>
        <v>0</v>
      </c>
      <c r="J105" s="9">
        <f>J98+J54+J15+J95+J76</f>
        <v>9509497</v>
      </c>
      <c r="K105" s="9">
        <f>K98+K54+K15+K95+K76</f>
        <v>8544214</v>
      </c>
      <c r="L105" s="9">
        <f t="shared" si="21"/>
        <v>965283</v>
      </c>
      <c r="M105" s="9">
        <f t="shared" si="21"/>
        <v>0</v>
      </c>
      <c r="N105" s="9">
        <f t="shared" si="21"/>
        <v>0</v>
      </c>
      <c r="O105" s="9">
        <f t="shared" si="21"/>
        <v>8544214</v>
      </c>
      <c r="P105" s="9">
        <f>P98+P54+P15+P95+P76</f>
        <v>67450945</v>
      </c>
    </row>
    <row r="106" spans="1:16">
      <c r="A106" s="26"/>
      <c r="B106" s="26"/>
      <c r="C106" s="26"/>
      <c r="D106" s="26"/>
      <c r="E106" s="27"/>
      <c r="F106" s="26"/>
      <c r="G106" s="26"/>
      <c r="H106" s="28"/>
      <c r="I106" s="26"/>
      <c r="J106" s="26"/>
      <c r="K106" s="26"/>
      <c r="L106" s="26"/>
      <c r="M106" s="26"/>
      <c r="N106" s="26"/>
      <c r="O106" s="26"/>
      <c r="P106" s="26"/>
    </row>
    <row r="107" spans="1:16">
      <c r="A107" s="29"/>
      <c r="B107" s="29"/>
      <c r="C107" s="29"/>
      <c r="D107" s="29"/>
      <c r="E107" s="27"/>
      <c r="F107" s="29"/>
      <c r="G107" s="29"/>
      <c r="H107" s="29"/>
      <c r="I107" s="29"/>
      <c r="J107" s="30"/>
      <c r="K107" s="29"/>
      <c r="L107" s="29"/>
      <c r="M107" s="29"/>
      <c r="N107" s="29"/>
      <c r="O107" s="29"/>
      <c r="P107" s="30"/>
    </row>
    <row r="108" spans="1:16">
      <c r="B108" s="19" t="s">
        <v>131</v>
      </c>
      <c r="E108" s="18"/>
      <c r="I108" s="19" t="s">
        <v>137</v>
      </c>
    </row>
  </sheetData>
  <mergeCells count="25"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2021-09-05T07:01:19Z</dcterms:modified>
</cp:coreProperties>
</file>