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9" i="1" l="1"/>
  <c r="O51" i="1"/>
  <c r="K51" i="1"/>
  <c r="F69" i="1" l="1"/>
  <c r="F55" i="1" l="1"/>
  <c r="O55" i="1"/>
  <c r="K55" i="1"/>
  <c r="F72" i="1" l="1"/>
  <c r="F38" i="1" l="1"/>
  <c r="F40" i="1" l="1"/>
  <c r="F101" i="1" l="1"/>
  <c r="F61" i="1" l="1"/>
  <c r="F56" i="1"/>
  <c r="O52" i="1" l="1"/>
  <c r="K52" i="1"/>
  <c r="K56" i="1" l="1"/>
  <c r="O56" i="1"/>
  <c r="J56" i="1"/>
  <c r="F67" i="1" l="1"/>
  <c r="O60" i="1"/>
  <c r="K60" i="1"/>
  <c r="F60" i="1"/>
  <c r="G22" i="1"/>
  <c r="F22" i="1"/>
  <c r="F17" i="1"/>
  <c r="H17" i="1"/>
  <c r="F99" i="1" l="1"/>
  <c r="F100" i="1"/>
  <c r="F54" i="1" l="1"/>
  <c r="G54" i="1"/>
  <c r="H54" i="1"/>
  <c r="I54" i="1"/>
  <c r="L54" i="1"/>
  <c r="M54" i="1"/>
  <c r="N54" i="1"/>
  <c r="J70" i="1"/>
  <c r="P70" i="1" s="1"/>
  <c r="E70" i="1"/>
  <c r="K16" i="1" l="1"/>
  <c r="F83" i="1"/>
  <c r="O16" i="1"/>
  <c r="L16" i="1"/>
  <c r="J16" i="1" l="1"/>
  <c r="F16" i="1"/>
  <c r="G16" i="1"/>
  <c r="H16" i="1"/>
  <c r="I16" i="1"/>
  <c r="M16" i="1"/>
  <c r="N16" i="1"/>
  <c r="J52" i="1"/>
  <c r="P52" i="1" s="1"/>
  <c r="E19" i="1"/>
  <c r="P19" i="1" s="1"/>
  <c r="F75" i="1"/>
  <c r="G55" i="1"/>
  <c r="H55" i="1"/>
  <c r="J55" i="1"/>
  <c r="M56" i="1"/>
  <c r="N56" i="1"/>
  <c r="O54" i="1"/>
  <c r="K54" i="1"/>
  <c r="J60" i="1"/>
  <c r="J61" i="1"/>
  <c r="E58" i="1"/>
  <c r="E59" i="1"/>
  <c r="E60" i="1"/>
  <c r="P60" i="1" s="1"/>
  <c r="E61" i="1"/>
  <c r="G17" i="1"/>
  <c r="P61" i="1" l="1"/>
  <c r="J51" i="1"/>
  <c r="P51" i="1" s="1"/>
  <c r="G39" i="1" l="1"/>
  <c r="O50" i="1" l="1"/>
  <c r="K50" i="1"/>
  <c r="J77" i="1" l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74" i="1" s="1"/>
  <c r="K74" i="1" l="1"/>
  <c r="J76" i="1"/>
  <c r="G76" i="1" l="1"/>
  <c r="F76" i="1"/>
  <c r="G75" i="1"/>
  <c r="J58" i="1" l="1"/>
  <c r="P58" i="1" s="1"/>
  <c r="J59" i="1"/>
  <c r="P59" i="1" s="1"/>
  <c r="J50" i="1" l="1"/>
  <c r="P50" i="1" s="1"/>
  <c r="O71" i="1" l="1"/>
  <c r="K71" i="1"/>
  <c r="O72" i="1"/>
  <c r="K72" i="1"/>
  <c r="J71" i="1" l="1"/>
  <c r="E71" i="1"/>
  <c r="P71" i="1" l="1"/>
  <c r="H97" i="1"/>
  <c r="F97" i="1"/>
  <c r="H94" i="1"/>
  <c r="F94" i="1"/>
  <c r="J49" i="1" l="1"/>
  <c r="P49" i="1" s="1"/>
  <c r="H68" i="1"/>
  <c r="F68" i="1"/>
  <c r="J47" i="1"/>
  <c r="P47" i="1" s="1"/>
  <c r="J48" i="1"/>
  <c r="G97" i="1"/>
  <c r="F37" i="1"/>
  <c r="H69" i="1"/>
  <c r="H56" i="1"/>
  <c r="P48" i="1" l="1"/>
  <c r="H67" i="1"/>
  <c r="E76" i="1"/>
  <c r="G74" i="1"/>
  <c r="O62" i="1"/>
  <c r="J63" i="1"/>
  <c r="E63" i="1"/>
  <c r="K62" i="1"/>
  <c r="F62" i="1"/>
  <c r="G94" i="1"/>
  <c r="F93" i="1"/>
  <c r="F92" i="1" s="1"/>
  <c r="G67" i="1"/>
  <c r="G69" i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74" i="1"/>
  <c r="I74" i="1"/>
  <c r="L74" i="1"/>
  <c r="M74" i="1"/>
  <c r="N74" i="1"/>
  <c r="O74" i="1"/>
  <c r="E91" i="1"/>
  <c r="P91" i="1" s="1"/>
  <c r="E90" i="1"/>
  <c r="P90" i="1" s="1"/>
  <c r="E89" i="1"/>
  <c r="P89" i="1" s="1"/>
  <c r="E88" i="1"/>
  <c r="P88" i="1" s="1"/>
  <c r="F87" i="1"/>
  <c r="E87" i="1" s="1"/>
  <c r="P87" i="1" s="1"/>
  <c r="E86" i="1"/>
  <c r="P86" i="1" s="1"/>
  <c r="E85" i="1"/>
  <c r="P85" i="1" s="1"/>
  <c r="F84" i="1"/>
  <c r="E84" i="1" s="1"/>
  <c r="P84" i="1" s="1"/>
  <c r="E83" i="1"/>
  <c r="P83" i="1" s="1"/>
  <c r="E82" i="1"/>
  <c r="P82" i="1" s="1"/>
  <c r="F81" i="1"/>
  <c r="E81" i="1" s="1"/>
  <c r="P81" i="1" s="1"/>
  <c r="E80" i="1"/>
  <c r="P80" i="1" s="1"/>
  <c r="F79" i="1"/>
  <c r="E79" i="1" s="1"/>
  <c r="P79" i="1" s="1"/>
  <c r="F78" i="1"/>
  <c r="E78" i="1" s="1"/>
  <c r="P78" i="1" s="1"/>
  <c r="E77" i="1"/>
  <c r="P77" i="1" s="1"/>
  <c r="P63" i="1" l="1"/>
  <c r="F74" i="1"/>
  <c r="P76" i="1"/>
  <c r="F73" i="1" l="1"/>
  <c r="G73" i="1"/>
  <c r="H73" i="1"/>
  <c r="I73" i="1"/>
  <c r="K73" i="1"/>
  <c r="L73" i="1"/>
  <c r="M73" i="1"/>
  <c r="N73" i="1"/>
  <c r="O73" i="1"/>
  <c r="J75" i="1"/>
  <c r="J73" i="1" s="1"/>
  <c r="E75" i="1"/>
  <c r="E74" i="1" s="1"/>
  <c r="E73" i="1" l="1"/>
  <c r="P75" i="1"/>
  <c r="P74" i="1" s="1"/>
  <c r="P73" i="1" l="1"/>
  <c r="J62" i="1"/>
  <c r="E62" i="1"/>
  <c r="P62" i="1" l="1"/>
  <c r="J72" i="1"/>
  <c r="E72" i="1"/>
  <c r="H39" i="1"/>
  <c r="H15" i="1" s="1"/>
  <c r="F18" i="1"/>
  <c r="E40" i="1"/>
  <c r="E18" i="1"/>
  <c r="P18" i="1" s="1"/>
  <c r="E101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P41" i="1" s="1"/>
  <c r="J42" i="1"/>
  <c r="P42" i="1" s="1"/>
  <c r="J44" i="1"/>
  <c r="J45" i="1"/>
  <c r="J46" i="1"/>
  <c r="P46" i="1" s="1"/>
  <c r="J57" i="1"/>
  <c r="J64" i="1"/>
  <c r="J65" i="1"/>
  <c r="J66" i="1"/>
  <c r="J67" i="1"/>
  <c r="J68" i="1"/>
  <c r="J69" i="1"/>
  <c r="J54" i="1" s="1"/>
  <c r="J92" i="1"/>
  <c r="J93" i="1"/>
  <c r="J94" i="1"/>
  <c r="J97" i="1"/>
  <c r="P97" i="1" s="1"/>
  <c r="J98" i="1"/>
  <c r="P98" i="1" s="1"/>
  <c r="J99" i="1"/>
  <c r="J100" i="1"/>
  <c r="J101" i="1"/>
  <c r="J17" i="1"/>
  <c r="E30" i="1"/>
  <c r="E27" i="1"/>
  <c r="E21" i="1"/>
  <c r="E56" i="1"/>
  <c r="P56" i="1" s="1"/>
  <c r="G68" i="1"/>
  <c r="E99" i="1"/>
  <c r="P99" i="1" s="1"/>
  <c r="E100" i="1"/>
  <c r="P100" i="1" s="1"/>
  <c r="E97" i="1"/>
  <c r="G93" i="1"/>
  <c r="G92" i="1" s="1"/>
  <c r="H93" i="1"/>
  <c r="H92" i="1" s="1"/>
  <c r="I93" i="1"/>
  <c r="I92" i="1"/>
  <c r="G96" i="1"/>
  <c r="G95" i="1" s="1"/>
  <c r="E94" i="1"/>
  <c r="E93" i="1" s="1"/>
  <c r="E92" i="1" s="1"/>
  <c r="E44" i="1"/>
  <c r="E45" i="1"/>
  <c r="G15" i="1"/>
  <c r="I15" i="1"/>
  <c r="K15" i="1"/>
  <c r="L15" i="1"/>
  <c r="M15" i="1"/>
  <c r="N15" i="1"/>
  <c r="O15" i="1"/>
  <c r="E20" i="1"/>
  <c r="E65" i="1"/>
  <c r="E66" i="1"/>
  <c r="E67" i="1"/>
  <c r="E68" i="1"/>
  <c r="E69" i="1"/>
  <c r="E64" i="1"/>
  <c r="E57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96" i="1"/>
  <c r="O95" i="1" s="1"/>
  <c r="N96" i="1"/>
  <c r="N95" i="1" s="1"/>
  <c r="M96" i="1"/>
  <c r="M95" i="1" s="1"/>
  <c r="L96" i="1"/>
  <c r="L95" i="1" s="1"/>
  <c r="K96" i="1"/>
  <c r="K95" i="1" s="1"/>
  <c r="I96" i="1"/>
  <c r="I95" i="1" s="1"/>
  <c r="H96" i="1"/>
  <c r="H95" i="1" s="1"/>
  <c r="J96" i="1"/>
  <c r="J15" i="1" l="1"/>
  <c r="P27" i="1"/>
  <c r="F15" i="1"/>
  <c r="P20" i="1"/>
  <c r="P17" i="1"/>
  <c r="E38" i="1"/>
  <c r="E16" i="1" s="1"/>
  <c r="P72" i="1"/>
  <c r="P21" i="1"/>
  <c r="P24" i="1"/>
  <c r="P68" i="1"/>
  <c r="P23" i="1"/>
  <c r="P93" i="1"/>
  <c r="P29" i="1"/>
  <c r="P33" i="1"/>
  <c r="P45" i="1"/>
  <c r="P35" i="1"/>
  <c r="P31" i="1"/>
  <c r="P39" i="1"/>
  <c r="P64" i="1"/>
  <c r="P44" i="1"/>
  <c r="P67" i="1"/>
  <c r="P26" i="1"/>
  <c r="P37" i="1"/>
  <c r="P22" i="1"/>
  <c r="P34" i="1"/>
  <c r="P57" i="1"/>
  <c r="P94" i="1"/>
  <c r="P65" i="1"/>
  <c r="P36" i="1"/>
  <c r="P69" i="1"/>
  <c r="P25" i="1"/>
  <c r="P28" i="1"/>
  <c r="P32" i="1"/>
  <c r="P92" i="1"/>
  <c r="P66" i="1"/>
  <c r="P30" i="1"/>
  <c r="P40" i="1"/>
  <c r="P101" i="1"/>
  <c r="E96" i="1"/>
  <c r="J95" i="1"/>
  <c r="F96" i="1"/>
  <c r="F95" i="1" s="1"/>
  <c r="P16" i="1" l="1"/>
  <c r="P15" i="1" s="1"/>
  <c r="P38" i="1"/>
  <c r="E15" i="1"/>
  <c r="P96" i="1"/>
  <c r="E95" i="1"/>
  <c r="P95" i="1" l="1"/>
  <c r="I53" i="1" l="1"/>
  <c r="I102" i="1" s="1"/>
  <c r="N53" i="1"/>
  <c r="N102" i="1" s="1"/>
  <c r="O53" i="1"/>
  <c r="O102" i="1" s="1"/>
  <c r="M53" i="1"/>
  <c r="M102" i="1" s="1"/>
  <c r="G53" i="1"/>
  <c r="G102" i="1" s="1"/>
  <c r="H53" i="1"/>
  <c r="H102" i="1" s="1"/>
  <c r="K53" i="1"/>
  <c r="K102" i="1" s="1"/>
  <c r="F53" i="1"/>
  <c r="F102" i="1" s="1"/>
  <c r="L53" i="1"/>
  <c r="E55" i="1"/>
  <c r="E54" i="1" l="1"/>
  <c r="E53" i="1" s="1"/>
  <c r="P55" i="1"/>
  <c r="J53" i="1"/>
  <c r="J102" i="1" s="1"/>
  <c r="L102" i="1"/>
  <c r="P54" i="1" l="1"/>
  <c r="E102" i="1"/>
  <c r="P53" i="1"/>
  <c r="P102" i="1" s="1"/>
</calcChain>
</file>

<file path=xl/sharedStrings.xml><?xml version="1.0" encoding="utf-8"?>
<sst xmlns="http://schemas.openxmlformats.org/spreadsheetml/2006/main" count="272" uniqueCount="202">
  <si>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</si>
  <si>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</si>
  <si>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</si>
  <si>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</si>
  <si>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</si>
  <si>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</si>
  <si>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</si>
  <si>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</si>
  <si>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</si>
  <si>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</si>
  <si>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</si>
  <si>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</si>
  <si>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</si>
  <si>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</si>
  <si>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</si>
  <si>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</si>
  <si>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</si>
  <si>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</si>
  <si>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</si>
  <si>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</si>
  <si>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</si>
  <si>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</si>
  <si>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</si>
  <si>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</si>
  <si>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</si>
  <si>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</si>
  <si>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</si>
  <si>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</si>
  <si>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</si>
  <si>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</si>
  <si>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</si>
  <si>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</si>
  <si>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</si>
  <si>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</si>
  <si>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</si>
  <si>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</si>
  <si>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</si>
  <si>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</si>
  <si>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</si>
  <si>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</si>
  <si>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</si>
  <si>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</si>
  <si>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</si>
  <si>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</si>
  <si>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</si>
  <si>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</si>
  <si>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</si>
  <si>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</si>
  <si>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</si>
  <si>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</si>
  <si>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</si>
  <si>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</si>
  <si>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</si>
  <si>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</si>
  <si>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</si>
  <si>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</si>
  <si>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</si>
  <si>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</si>
  <si>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</si>
  <si>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</si>
  <si>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</si>
  <si>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</si>
  <si>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</si>
  <si>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</si>
  <si>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</si>
  <si>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</si>
  <si>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</si>
  <si>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</si>
  <si>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</si>
  <si>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</si>
  <si>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</si>
  <si>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</si>
  <si>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</si>
  <si>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</si>
  <si>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</si>
  <si>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</si>
  <si>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</si>
  <si>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</si>
  <si>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</si>
  <si>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</si>
  <si>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</si>
  <si>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</si>
  <si>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</si>
  <si>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</si>
  <si>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</si>
  <si>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</si>
  <si>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</si>
  <si>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</si>
  <si>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</si>
  <si>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</si>
  <si>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</si>
  <si>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</si>
  <si>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</si>
  <si>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</si>
  <si>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</si>
  <si>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</si>
  <si>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</si>
  <si>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</si>
  <si>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</si>
  <si>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</si>
  <si>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</si>
  <si>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</si>
  <si>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</si>
  <si>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</si>
  <si>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</si>
  <si>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</si>
  <si>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</si>
  <si>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</si>
  <si>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</si>
  <si>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</si>
  <si>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</si>
  <si>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</si>
  <si>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</si>
  <si>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</si>
  <si>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</si>
  <si>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</si>
  <si>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</si>
  <si>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</si>
  <si>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</si>
  <si>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</si>
  <si>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</si>
  <si>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</si>
  <si>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</si>
  <si>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</si>
  <si>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</si>
  <si>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</si>
  <si>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</si>
  <si>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</si>
  <si>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</si>
  <si>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</si>
  <si>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</si>
  <si>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</si>
  <si>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</si>
  <si>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</si>
  <si>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</si>
  <si>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</si>
  <si>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</si>
  <si>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</si>
  <si>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</si>
  <si>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</si>
  <si>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</si>
  <si>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</si>
  <si>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</si>
  <si>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</si>
  <si>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</si>
  <si>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</si>
  <si>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</si>
  <si>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</si>
  <si>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</si>
  <si>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</si>
  <si>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</si>
  <si>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</si>
  <si>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</si>
  <si>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</si>
  <si>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</si>
  <si>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</si>
  <si>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</si>
  <si>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</si>
  <si>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</si>
  <si>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</si>
  <si>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</si>
  <si>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</si>
  <si>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</si>
  <si>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</si>
  <si>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</si>
  <si>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</si>
  <si>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</si>
  <si>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</si>
  <si>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</si>
  <si>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</si>
  <si>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</si>
  <si>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</si>
  <si>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</si>
  <si>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</si>
  <si>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</si>
  <si>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</si>
  <si>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</si>
  <si>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</si>
  <si>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</si>
  <si>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</si>
  <si>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</si>
  <si>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</si>
  <si>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</si>
  <si>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</si>
  <si>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</si>
  <si>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</si>
  <si>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</si>
  <si>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</si>
  <si>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</si>
  <si>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</si>
  <si>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</si>
  <si>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</si>
  <si>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</si>
  <si>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</si>
  <si>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</si>
  <si>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</si>
  <si>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</si>
  <si>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</si>
  <si>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</si>
  <si>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</si>
  <si>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</si>
  <si>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від 13.07.2021р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</si>
</sst>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05"/>
  <sheetViews>
    <sheetView tabSelected="1" topLeftCell="B87" workbookViewId="0">
      <selection activeCell="F52" sqref="F52:F53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1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63" t="s">
        <v>161</v>
      </c>
      <c r="N4" s="63"/>
      <c r="O4" s="63"/>
      <c r="P4" s="63"/>
    </row>
    <row r="5" spans="1:16" x14ac:dyDescent="0.25">
      <c r="M5" s="60" t="s">
        <v>201</v>
      </c>
    </row>
    <row r="6" spans="1:16" x14ac:dyDescent="0.25">
      <c r="A6" s="64" t="s">
        <v>1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pans="1:16" x14ac:dyDescent="0.25">
      <c r="A7" s="64" t="s">
        <v>2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</row>
    <row r="8" spans="1:16" x14ac:dyDescent="0.25">
      <c r="A8" s="32">
        <v>14555000000</v>
      </c>
      <c r="B8" s="1"/>
      <c r="C8" s="1"/>
      <c r="D8" s="1"/>
      <c r="E8" s="1"/>
      <c r="F8" s="1"/>
      <c r="G8" s="66">
        <v>14555000000</v>
      </c>
      <c r="H8" s="66"/>
      <c r="I8" s="66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67" t="s">
        <v>3</v>
      </c>
      <c r="H9" s="67"/>
      <c r="I9" s="67"/>
      <c r="P9" s="3" t="s">
        <v>4</v>
      </c>
    </row>
    <row r="10" spans="1:16" x14ac:dyDescent="0.25">
      <c r="A10" s="68" t="s">
        <v>5</v>
      </c>
      <c r="B10" s="68" t="s">
        <v>6</v>
      </c>
      <c r="C10" s="68" t="s">
        <v>7</v>
      </c>
      <c r="D10" s="62" t="s">
        <v>8</v>
      </c>
      <c r="E10" s="62" t="s">
        <v>9</v>
      </c>
      <c r="F10" s="62"/>
      <c r="G10" s="62"/>
      <c r="H10" s="62"/>
      <c r="I10" s="62"/>
      <c r="J10" s="62" t="s">
        <v>10</v>
      </c>
      <c r="K10" s="62"/>
      <c r="L10" s="62"/>
      <c r="M10" s="62"/>
      <c r="N10" s="62"/>
      <c r="O10" s="62"/>
      <c r="P10" s="61" t="s">
        <v>11</v>
      </c>
    </row>
    <row r="11" spans="1:16" x14ac:dyDescent="0.25">
      <c r="A11" s="62"/>
      <c r="B11" s="62"/>
      <c r="C11" s="62"/>
      <c r="D11" s="62"/>
      <c r="E11" s="61" t="s">
        <v>12</v>
      </c>
      <c r="F11" s="62" t="s">
        <v>13</v>
      </c>
      <c r="G11" s="62" t="s">
        <v>14</v>
      </c>
      <c r="H11" s="62"/>
      <c r="I11" s="62" t="s">
        <v>15</v>
      </c>
      <c r="J11" s="61" t="s">
        <v>12</v>
      </c>
      <c r="K11" s="62" t="s">
        <v>16</v>
      </c>
      <c r="L11" s="62" t="s">
        <v>13</v>
      </c>
      <c r="M11" s="62" t="s">
        <v>14</v>
      </c>
      <c r="N11" s="62"/>
      <c r="O11" s="62" t="s">
        <v>15</v>
      </c>
      <c r="P11" s="62"/>
    </row>
    <row r="12" spans="1:16" x14ac:dyDescent="0.25">
      <c r="A12" s="62"/>
      <c r="B12" s="62"/>
      <c r="C12" s="62"/>
      <c r="D12" s="62"/>
      <c r="E12" s="62"/>
      <c r="F12" s="62"/>
      <c r="G12" s="62" t="s">
        <v>17</v>
      </c>
      <c r="H12" s="62" t="s">
        <v>18</v>
      </c>
      <c r="I12" s="62"/>
      <c r="J12" s="62"/>
      <c r="K12" s="62"/>
      <c r="L12" s="62"/>
      <c r="M12" s="62" t="s">
        <v>17</v>
      </c>
      <c r="N12" s="62" t="s">
        <v>18</v>
      </c>
      <c r="O12" s="62"/>
      <c r="P12" s="62"/>
    </row>
    <row r="13" spans="1:16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13139764</v>
      </c>
      <c r="F15" s="9">
        <f t="shared" ref="F15:O15" si="0">F16</f>
        <v>13139764</v>
      </c>
      <c r="G15" s="9">
        <f t="shared" si="0"/>
        <v>8638782</v>
      </c>
      <c r="H15" s="9">
        <f t="shared" si="0"/>
        <v>923010</v>
      </c>
      <c r="I15" s="9">
        <f t="shared" si="0"/>
        <v>0</v>
      </c>
      <c r="J15" s="9">
        <f t="shared" si="0"/>
        <v>4556034</v>
      </c>
      <c r="K15" s="9">
        <f t="shared" si="0"/>
        <v>4377534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4377534</v>
      </c>
      <c r="P15" s="9">
        <f>P16</f>
        <v>17695798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</f>
        <v>13139764</v>
      </c>
      <c r="F16" s="9">
        <f t="shared" ref="F16:N16" si="1">F17+F20+F21+F22+F23+F25+F27+F28+F30+F31+F34+F35+F37+F38+F39+F40+F41+F42+F44+F45+F46+F47+F18+F43+F19+F52</f>
        <v>13139764</v>
      </c>
      <c r="G16" s="9">
        <f t="shared" si="1"/>
        <v>8638782</v>
      </c>
      <c r="H16" s="9">
        <f t="shared" si="1"/>
        <v>923010</v>
      </c>
      <c r="I16" s="9">
        <f t="shared" si="1"/>
        <v>0</v>
      </c>
      <c r="J16" s="9">
        <f>L16+O16</f>
        <v>4556034</v>
      </c>
      <c r="K16" s="9">
        <f>K17+K20+K21+K22+K23+K25+K27+K28+K30+K31+K34+K35+K37+K38+K39+K40+K41+K42+K44+K45+K46+K47+K18+K43+K19+K52+K49+K50+K51</f>
        <v>4377534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4377534</v>
      </c>
      <c r="P16" s="9">
        <f>E16+J16</f>
        <v>17695798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9170498</v>
      </c>
      <c r="F17" s="48">
        <f>9622673-10000-404064-1823611+8000+48000-2500+20000+1220000+268000+224000</f>
        <v>9170498</v>
      </c>
      <c r="G17" s="24">
        <f>7478100-331200-1495000-2050+1220000</f>
        <v>6869850</v>
      </c>
      <c r="H17" s="24">
        <f>162000+8000+60+62000</f>
        <v>232060</v>
      </c>
      <c r="I17" s="24">
        <v>0</v>
      </c>
      <c r="J17" s="23">
        <f>L17+O17</f>
        <v>600000</v>
      </c>
      <c r="K17" s="24">
        <v>600000</v>
      </c>
      <c r="L17" s="24"/>
      <c r="M17" s="24">
        <v>0</v>
      </c>
      <c r="N17" s="24">
        <v>0</v>
      </c>
      <c r="O17" s="24">
        <v>600000</v>
      </c>
      <c r="P17" s="23">
        <f>E17+J17</f>
        <v>9770498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100000</v>
      </c>
      <c r="F18" s="48">
        <f>10000+40000+50000</f>
        <v>100000</v>
      </c>
      <c r="G18" s="24"/>
      <c r="H18" s="24"/>
      <c r="I18" s="24"/>
      <c r="J18" s="23"/>
      <c r="K18" s="24"/>
      <c r="L18" s="24"/>
      <c r="M18" s="24"/>
      <c r="N18" s="24"/>
      <c r="O18" s="24"/>
      <c r="P18" s="23">
        <f>E18+J18</f>
        <v>100000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45000</v>
      </c>
      <c r="F19" s="48">
        <v>45000</v>
      </c>
      <c r="G19" s="24"/>
      <c r="H19" s="24"/>
      <c r="I19" s="24"/>
      <c r="J19" s="23"/>
      <c r="K19" s="24"/>
      <c r="L19" s="24"/>
      <c r="M19" s="24"/>
      <c r="N19" s="24"/>
      <c r="O19" s="24"/>
      <c r="P19" s="23">
        <f>E19+J19</f>
        <v>45000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2019467</v>
      </c>
      <c r="F20" s="39">
        <v>2019467</v>
      </c>
      <c r="G20" s="24">
        <v>1496882</v>
      </c>
      <c r="H20" s="24">
        <v>70950</v>
      </c>
      <c r="I20" s="24"/>
      <c r="J20" s="23">
        <f t="shared" ref="J20:J101" si="2">L20+O20</f>
        <v>0</v>
      </c>
      <c r="K20" s="24"/>
      <c r="L20" s="24"/>
      <c r="M20" s="24"/>
      <c r="N20" s="24"/>
      <c r="O20" s="24"/>
      <c r="P20" s="23">
        <f t="shared" ref="P20:P52" si="3">E20+J20</f>
        <v>2019467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45" si="4">F22+I22</f>
        <v>265467</v>
      </c>
      <c r="F22" s="39">
        <f>2500+116567+146400</f>
        <v>265467</v>
      </c>
      <c r="G22" s="24">
        <f>2050+95547+120000</f>
        <v>217597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265467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150000</v>
      </c>
      <c r="F38" s="39">
        <f>200000-50000-50000+50000</f>
        <v>150000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150000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1247054</v>
      </c>
      <c r="F39" s="39">
        <f>1174824-99578+95160-50000-75000-116567+500000-16700-7800-3200-35380-16600-50000-22105-30000</f>
        <v>1247054</v>
      </c>
      <c r="G39" s="24">
        <f>72000+78000-95547</f>
        <v>54453</v>
      </c>
      <c r="H39" s="24">
        <f>320000+200000+100000</f>
        <v>620000</v>
      </c>
      <c r="I39" s="24">
        <v>0</v>
      </c>
      <c r="J39" s="23">
        <f t="shared" si="2"/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3">
        <f t="shared" si="3"/>
        <v>1247054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32700</v>
      </c>
      <c r="F40" s="39">
        <f>200000-40000-147100+3200+16600</f>
        <v>32700</v>
      </c>
      <c r="G40" s="24">
        <v>0</v>
      </c>
      <c r="H40" s="24">
        <v>0</v>
      </c>
      <c r="I40" s="24">
        <v>0</v>
      </c>
      <c r="J40" s="23">
        <f t="shared" si="2"/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3">
        <f t="shared" si="3"/>
        <v>32700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/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si="2"/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10000</v>
      </c>
      <c r="F45" s="39">
        <v>10000</v>
      </c>
      <c r="G45" s="24">
        <v>0</v>
      </c>
      <c r="H45" s="24">
        <v>0</v>
      </c>
      <c r="I45" s="24">
        <v>0</v>
      </c>
      <c r="J45" s="23">
        <f t="shared" si="2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10000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2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2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v>0</v>
      </c>
      <c r="F48" s="39"/>
      <c r="G48" s="24"/>
      <c r="H48" s="24"/>
      <c r="I48" s="24"/>
      <c r="J48" s="23">
        <f t="shared" si="2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v>0</v>
      </c>
      <c r="F49" s="39"/>
      <c r="G49" s="24"/>
      <c r="H49" s="24"/>
      <c r="I49" s="24"/>
      <c r="J49" s="23">
        <f t="shared" si="2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v>0</v>
      </c>
      <c r="F50" s="39"/>
      <c r="G50" s="24"/>
      <c r="H50" s="24"/>
      <c r="I50" s="24"/>
      <c r="J50" s="23">
        <f t="shared" si="2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/>
      <c r="F51" s="39"/>
      <c r="G51" s="24"/>
      <c r="H51" s="24"/>
      <c r="I51" s="24"/>
      <c r="J51" s="23">
        <f t="shared" si="2"/>
        <v>280000</v>
      </c>
      <c r="K51" s="24">
        <f>250000+30000</f>
        <v>280000</v>
      </c>
      <c r="L51" s="24"/>
      <c r="M51" s="24"/>
      <c r="N51" s="24"/>
      <c r="O51" s="24">
        <f>250000+30000</f>
        <v>280000</v>
      </c>
      <c r="P51" s="23">
        <f t="shared" si="3"/>
        <v>280000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/>
      <c r="F52" s="39"/>
      <c r="G52" s="24"/>
      <c r="H52" s="24"/>
      <c r="I52" s="24"/>
      <c r="J52" s="23">
        <f t="shared" si="2"/>
        <v>3307886</v>
      </c>
      <c r="K52" s="24">
        <f>621431+2686455</f>
        <v>3307886</v>
      </c>
      <c r="L52" s="24"/>
      <c r="M52" s="24"/>
      <c r="N52" s="24"/>
      <c r="O52" s="24">
        <f>621431+2686455</f>
        <v>3307886</v>
      </c>
      <c r="P52" s="23">
        <f t="shared" si="3"/>
        <v>3307886</v>
      </c>
    </row>
    <row r="53" spans="1:18" ht="29.25" customHeight="1" x14ac:dyDescent="0.25">
      <c r="A53" s="56" t="s">
        <v>95</v>
      </c>
      <c r="B53" s="6"/>
      <c r="C53" s="7"/>
      <c r="D53" s="8" t="s">
        <v>135</v>
      </c>
      <c r="E53" s="9">
        <f>E54</f>
        <v>37274194</v>
      </c>
      <c r="F53" s="43">
        <f t="shared" ref="F53:O53" si="5">F54</f>
        <v>37274194</v>
      </c>
      <c r="G53" s="9">
        <f t="shared" si="5"/>
        <v>27366529</v>
      </c>
      <c r="H53" s="9">
        <f t="shared" si="5"/>
        <v>1908000</v>
      </c>
      <c r="I53" s="9">
        <f t="shared" si="5"/>
        <v>0</v>
      </c>
      <c r="J53" s="23">
        <f t="shared" si="2"/>
        <v>4587106</v>
      </c>
      <c r="K53" s="9">
        <f t="shared" si="5"/>
        <v>3800323</v>
      </c>
      <c r="L53" s="9">
        <f t="shared" si="5"/>
        <v>786783</v>
      </c>
      <c r="M53" s="9">
        <f t="shared" si="5"/>
        <v>0</v>
      </c>
      <c r="N53" s="9">
        <f t="shared" si="5"/>
        <v>0</v>
      </c>
      <c r="O53" s="9">
        <f t="shared" si="5"/>
        <v>3800323</v>
      </c>
      <c r="P53" s="9">
        <f>E53+J53</f>
        <v>41861300</v>
      </c>
    </row>
    <row r="54" spans="1:18" ht="29.25" customHeight="1" x14ac:dyDescent="0.25">
      <c r="A54" s="56" t="s">
        <v>96</v>
      </c>
      <c r="B54" s="6"/>
      <c r="C54" s="7"/>
      <c r="D54" s="8" t="s">
        <v>135</v>
      </c>
      <c r="E54" s="9">
        <f>E55+E56+E65+E66+E67+E68+E69+E64+E62+E63+E72+E61+E70+E71</f>
        <v>37274194</v>
      </c>
      <c r="F54" s="9">
        <f t="shared" ref="F54:O54" si="6">F55+F56+F65+F66+F67+F68+F69+F64+F62+F63+F72+F61+F70+F71</f>
        <v>37274194</v>
      </c>
      <c r="G54" s="9">
        <f t="shared" si="6"/>
        <v>27366529</v>
      </c>
      <c r="H54" s="9">
        <f t="shared" si="6"/>
        <v>1908000</v>
      </c>
      <c r="I54" s="9">
        <f t="shared" si="6"/>
        <v>0</v>
      </c>
      <c r="J54" s="9">
        <f t="shared" si="6"/>
        <v>4587106</v>
      </c>
      <c r="K54" s="9">
        <f t="shared" si="6"/>
        <v>3800323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3800323</v>
      </c>
      <c r="P54" s="9">
        <f>E54+J54</f>
        <v>41861300</v>
      </c>
      <c r="R54" s="18"/>
    </row>
    <row r="55" spans="1:18" x14ac:dyDescent="0.25">
      <c r="A55" s="51" t="s">
        <v>97</v>
      </c>
      <c r="B55" s="20" t="s">
        <v>42</v>
      </c>
      <c r="C55" s="21" t="s">
        <v>98</v>
      </c>
      <c r="D55" s="22" t="s">
        <v>99</v>
      </c>
      <c r="E55" s="23">
        <f>F55+I55</f>
        <v>4985700</v>
      </c>
      <c r="F55" s="39">
        <f>4804153+107000+57747+26000-100000+59000+31800</f>
        <v>4985700</v>
      </c>
      <c r="G55" s="24">
        <f>3401100+107000</f>
        <v>3508100</v>
      </c>
      <c r="H55" s="24">
        <f>324000+8000</f>
        <v>332000</v>
      </c>
      <c r="I55" s="24">
        <v>0</v>
      </c>
      <c r="J55" s="23">
        <f t="shared" si="2"/>
        <v>174000</v>
      </c>
      <c r="K55" s="24">
        <f>15000</f>
        <v>15000</v>
      </c>
      <c r="L55" s="24">
        <v>159000</v>
      </c>
      <c r="M55" s="24">
        <v>0</v>
      </c>
      <c r="N55" s="24">
        <v>0</v>
      </c>
      <c r="O55" s="24">
        <f>15000</f>
        <v>15000</v>
      </c>
      <c r="P55" s="23">
        <f>E55+J55</f>
        <v>5159700</v>
      </c>
    </row>
    <row r="56" spans="1:18" ht="30.75" customHeight="1" x14ac:dyDescent="0.25">
      <c r="A56" s="57" t="s">
        <v>100</v>
      </c>
      <c r="B56" s="20">
        <v>1021</v>
      </c>
      <c r="C56" s="21" t="s">
        <v>101</v>
      </c>
      <c r="D56" s="22" t="s">
        <v>102</v>
      </c>
      <c r="E56" s="23">
        <f>F56+I56</f>
        <v>9280463</v>
      </c>
      <c r="F56" s="39">
        <f>9154200+100000+70000-50000- 210350+25580+122274+13000+19259+13500+15000+8000</f>
        <v>9280463</v>
      </c>
      <c r="G56" s="24">
        <v>5500000</v>
      </c>
      <c r="H56" s="24">
        <f>1492000+4500+17700</f>
        <v>1514200</v>
      </c>
      <c r="I56" s="24">
        <v>0</v>
      </c>
      <c r="J56" s="23">
        <f>L56+O56</f>
        <v>984783</v>
      </c>
      <c r="K56" s="24">
        <f>250000+99000+8000</f>
        <v>357000</v>
      </c>
      <c r="L56" s="24">
        <v>627783</v>
      </c>
      <c r="M56" s="24">
        <f t="shared" ref="M56:N56" si="7">M58+M59+M60</f>
        <v>0</v>
      </c>
      <c r="N56" s="24">
        <f t="shared" si="7"/>
        <v>0</v>
      </c>
      <c r="O56" s="24">
        <f>250000+99000+8000</f>
        <v>357000</v>
      </c>
      <c r="P56" s="23">
        <f>E56+J56</f>
        <v>10265246</v>
      </c>
      <c r="R56" s="18"/>
    </row>
    <row r="57" spans="1:18" ht="66.75" customHeight="1" x14ac:dyDescent="0.25">
      <c r="A57" s="58"/>
      <c r="B57" s="10"/>
      <c r="C57" s="11"/>
      <c r="D57" s="12" t="s">
        <v>103</v>
      </c>
      <c r="E57" s="23">
        <f t="shared" ref="E57:E94" si="8">F57+I57</f>
        <v>999200</v>
      </c>
      <c r="F57" s="42">
        <v>999200</v>
      </c>
      <c r="G57" s="13"/>
      <c r="H57" s="13">
        <v>999200</v>
      </c>
      <c r="I57" s="13"/>
      <c r="J57" s="23">
        <f t="shared" si="2"/>
        <v>0</v>
      </c>
      <c r="K57" s="13"/>
      <c r="L57" s="13"/>
      <c r="M57" s="13"/>
      <c r="N57" s="13"/>
      <c r="O57" s="13"/>
      <c r="P57" s="23">
        <f t="shared" ref="P57:P72" si="9">E57+J57</f>
        <v>999200</v>
      </c>
      <c r="R57" s="18"/>
    </row>
    <row r="58" spans="1:18" ht="56.25" hidden="1" customHeight="1" x14ac:dyDescent="0.25">
      <c r="A58" s="52"/>
      <c r="B58" s="10"/>
      <c r="C58" s="11"/>
      <c r="D58" s="12"/>
      <c r="E58" s="23">
        <f t="shared" si="8"/>
        <v>0</v>
      </c>
      <c r="F58" s="42"/>
      <c r="G58" s="13"/>
      <c r="H58" s="13"/>
      <c r="I58" s="13"/>
      <c r="J58" s="23">
        <f t="shared" si="2"/>
        <v>0</v>
      </c>
      <c r="K58" s="13"/>
      <c r="L58" s="13"/>
      <c r="M58" s="13"/>
      <c r="N58" s="13"/>
      <c r="O58" s="13"/>
      <c r="P58" s="23">
        <f t="shared" si="9"/>
        <v>0</v>
      </c>
    </row>
    <row r="59" spans="1:18" ht="56.25" customHeight="1" x14ac:dyDescent="0.25">
      <c r="A59" s="52"/>
      <c r="B59" s="10"/>
      <c r="C59" s="11"/>
      <c r="D59" s="12" t="s">
        <v>189</v>
      </c>
      <c r="E59" s="23">
        <f t="shared" si="8"/>
        <v>0</v>
      </c>
      <c r="F59" s="42"/>
      <c r="G59" s="13"/>
      <c r="H59" s="13"/>
      <c r="I59" s="13"/>
      <c r="J59" s="23">
        <f t="shared" si="2"/>
        <v>250000</v>
      </c>
      <c r="K59" s="13">
        <v>250000</v>
      </c>
      <c r="L59" s="13"/>
      <c r="M59" s="13"/>
      <c r="N59" s="13"/>
      <c r="O59" s="13">
        <v>250000</v>
      </c>
      <c r="P59" s="23">
        <f t="shared" si="9"/>
        <v>250000</v>
      </c>
    </row>
    <row r="60" spans="1:18" ht="56.25" customHeight="1" x14ac:dyDescent="0.25">
      <c r="A60" s="52"/>
      <c r="B60" s="10"/>
      <c r="C60" s="11"/>
      <c r="D60" s="12" t="s">
        <v>191</v>
      </c>
      <c r="E60" s="23">
        <f t="shared" si="8"/>
        <v>68759</v>
      </c>
      <c r="F60" s="42">
        <f>13000+19259+13500+15000+8000</f>
        <v>68759</v>
      </c>
      <c r="G60" s="13"/>
      <c r="H60" s="13"/>
      <c r="I60" s="13"/>
      <c r="J60" s="23">
        <f t="shared" si="2"/>
        <v>99000</v>
      </c>
      <c r="K60" s="13">
        <f>54000+45000</f>
        <v>99000</v>
      </c>
      <c r="L60" s="13"/>
      <c r="M60" s="13"/>
      <c r="N60" s="13"/>
      <c r="O60" s="13">
        <f>54000+45000</f>
        <v>99000</v>
      </c>
      <c r="P60" s="23">
        <f t="shared" si="9"/>
        <v>167759</v>
      </c>
    </row>
    <row r="61" spans="1:18" ht="62.25" customHeight="1" x14ac:dyDescent="0.25">
      <c r="A61" s="57" t="s">
        <v>199</v>
      </c>
      <c r="B61" s="20">
        <v>1181</v>
      </c>
      <c r="C61" s="25" t="s">
        <v>106</v>
      </c>
      <c r="D61" s="22" t="s">
        <v>200</v>
      </c>
      <c r="E61" s="23">
        <f t="shared" si="8"/>
        <v>28767</v>
      </c>
      <c r="F61" s="42">
        <f>17207+11560</f>
        <v>28767</v>
      </c>
      <c r="G61" s="13"/>
      <c r="H61" s="13"/>
      <c r="I61" s="13"/>
      <c r="J61" s="23">
        <f t="shared" si="2"/>
        <v>0</v>
      </c>
      <c r="K61" s="13"/>
      <c r="L61" s="13"/>
      <c r="M61" s="13"/>
      <c r="N61" s="13"/>
      <c r="O61" s="13"/>
      <c r="P61" s="23">
        <f t="shared" si="9"/>
        <v>28767</v>
      </c>
    </row>
    <row r="62" spans="1:18" ht="56.25" customHeight="1" x14ac:dyDescent="0.25">
      <c r="A62" s="57" t="s">
        <v>154</v>
      </c>
      <c r="B62" s="20">
        <v>1200</v>
      </c>
      <c r="C62" s="25" t="s">
        <v>106</v>
      </c>
      <c r="D62" s="22" t="s">
        <v>155</v>
      </c>
      <c r="E62" s="23">
        <f t="shared" si="8"/>
        <v>35224</v>
      </c>
      <c r="F62" s="42">
        <f>35224</f>
        <v>35224</v>
      </c>
      <c r="G62" s="13"/>
      <c r="H62" s="13"/>
      <c r="I62" s="13"/>
      <c r="J62" s="23">
        <f t="shared" si="2"/>
        <v>17874</v>
      </c>
      <c r="K62" s="13">
        <f>17874</f>
        <v>17874</v>
      </c>
      <c r="L62" s="13"/>
      <c r="M62" s="13"/>
      <c r="N62" s="13"/>
      <c r="O62" s="13">
        <f>17874</f>
        <v>17874</v>
      </c>
      <c r="P62" s="23">
        <f t="shared" si="9"/>
        <v>53098</v>
      </c>
    </row>
    <row r="63" spans="1:18" ht="56.25" customHeight="1" x14ac:dyDescent="0.25">
      <c r="A63" s="53" t="s">
        <v>174</v>
      </c>
      <c r="B63" s="20">
        <v>1210</v>
      </c>
      <c r="C63" s="46" t="s">
        <v>106</v>
      </c>
      <c r="D63" s="22" t="s">
        <v>173</v>
      </c>
      <c r="E63" s="23">
        <f t="shared" si="8"/>
        <v>20052</v>
      </c>
      <c r="F63" s="42">
        <v>20052</v>
      </c>
      <c r="G63" s="13"/>
      <c r="H63" s="13"/>
      <c r="I63" s="13"/>
      <c r="J63" s="23">
        <f t="shared" si="2"/>
        <v>16646</v>
      </c>
      <c r="K63" s="13">
        <v>16646</v>
      </c>
      <c r="L63" s="13"/>
      <c r="M63" s="13"/>
      <c r="N63" s="13"/>
      <c r="O63" s="13">
        <v>16646</v>
      </c>
      <c r="P63" s="23">
        <f t="shared" si="9"/>
        <v>36698</v>
      </c>
    </row>
    <row r="64" spans="1:18" ht="27.75" customHeight="1" x14ac:dyDescent="0.25">
      <c r="A64" s="57" t="s">
        <v>104</v>
      </c>
      <c r="B64" s="20">
        <v>1031</v>
      </c>
      <c r="C64" s="21" t="s">
        <v>101</v>
      </c>
      <c r="D64" s="22" t="s">
        <v>138</v>
      </c>
      <c r="E64" s="23">
        <f t="shared" si="8"/>
        <v>20259200</v>
      </c>
      <c r="F64" s="39">
        <v>20259200</v>
      </c>
      <c r="G64" s="24">
        <v>16600000</v>
      </c>
      <c r="H64" s="24"/>
      <c r="I64" s="24"/>
      <c r="J64" s="23">
        <f t="shared" si="2"/>
        <v>0</v>
      </c>
      <c r="K64" s="24"/>
      <c r="L64" s="24"/>
      <c r="M64" s="24"/>
      <c r="N64" s="24"/>
      <c r="O64" s="24"/>
      <c r="P64" s="23">
        <f t="shared" si="9"/>
        <v>20259200</v>
      </c>
    </row>
    <row r="65" spans="1:16" ht="46.5" hidden="1" customHeight="1" x14ac:dyDescent="0.25">
      <c r="A65" s="51"/>
      <c r="B65" s="20"/>
      <c r="C65" s="21"/>
      <c r="D65" s="22"/>
      <c r="E65" s="23">
        <f t="shared" si="8"/>
        <v>0</v>
      </c>
      <c r="F65" s="39"/>
      <c r="G65" s="24"/>
      <c r="H65" s="24"/>
      <c r="I65" s="24">
        <v>0</v>
      </c>
      <c r="J65" s="23">
        <f t="shared" si="2"/>
        <v>0</v>
      </c>
      <c r="K65" s="24">
        <v>0</v>
      </c>
      <c r="L65" s="24">
        <v>0</v>
      </c>
      <c r="M65" s="24">
        <v>0</v>
      </c>
      <c r="N65" s="24">
        <v>0</v>
      </c>
      <c r="O65" s="24">
        <v>0</v>
      </c>
      <c r="P65" s="23">
        <f t="shared" si="9"/>
        <v>0</v>
      </c>
    </row>
    <row r="66" spans="1:16" hidden="1" x14ac:dyDescent="0.25">
      <c r="A66" s="51"/>
      <c r="B66" s="20"/>
      <c r="C66" s="21"/>
      <c r="D66" s="22"/>
      <c r="E66" s="23">
        <f t="shared" si="8"/>
        <v>0</v>
      </c>
      <c r="F66" s="39"/>
      <c r="G66" s="24"/>
      <c r="H66" s="24"/>
      <c r="I66" s="24">
        <v>0</v>
      </c>
      <c r="J66" s="23">
        <f t="shared" si="2"/>
        <v>0</v>
      </c>
      <c r="K66" s="24">
        <v>0</v>
      </c>
      <c r="L66" s="24"/>
      <c r="M66" s="24">
        <v>0</v>
      </c>
      <c r="N66" s="24">
        <v>0</v>
      </c>
      <c r="O66" s="24">
        <v>0</v>
      </c>
      <c r="P66" s="23">
        <f t="shared" si="9"/>
        <v>0</v>
      </c>
    </row>
    <row r="67" spans="1:16" ht="25.5" x14ac:dyDescent="0.25">
      <c r="A67" s="51" t="s">
        <v>105</v>
      </c>
      <c r="B67" s="20">
        <v>1141</v>
      </c>
      <c r="C67" s="21" t="s">
        <v>106</v>
      </c>
      <c r="D67" s="22" t="s">
        <v>107</v>
      </c>
      <c r="E67" s="23">
        <f t="shared" si="8"/>
        <v>911213</v>
      </c>
      <c r="F67" s="39">
        <f>816213+11800+2000+73200+2500+5500</f>
        <v>911213</v>
      </c>
      <c r="G67" s="24">
        <f>584601+60000</f>
        <v>644601</v>
      </c>
      <c r="H67" s="24">
        <f>33000-30000</f>
        <v>3000</v>
      </c>
      <c r="I67" s="24">
        <v>0</v>
      </c>
      <c r="J67" s="23">
        <f t="shared" si="2"/>
        <v>0</v>
      </c>
      <c r="K67" s="24">
        <v>0</v>
      </c>
      <c r="L67" s="24">
        <v>0</v>
      </c>
      <c r="M67" s="24">
        <v>0</v>
      </c>
      <c r="N67" s="24">
        <v>0</v>
      </c>
      <c r="O67" s="24">
        <v>0</v>
      </c>
      <c r="P67" s="23">
        <f t="shared" si="9"/>
        <v>911213</v>
      </c>
    </row>
    <row r="68" spans="1:16" ht="21" customHeight="1" x14ac:dyDescent="0.25">
      <c r="A68" s="51" t="s">
        <v>108</v>
      </c>
      <c r="B68" s="20" t="s">
        <v>109</v>
      </c>
      <c r="C68" s="21" t="s">
        <v>110</v>
      </c>
      <c r="D68" s="22" t="s">
        <v>111</v>
      </c>
      <c r="E68" s="23">
        <f t="shared" si="8"/>
        <v>826466</v>
      </c>
      <c r="F68" s="39">
        <f>679810+140056+6600</f>
        <v>826466</v>
      </c>
      <c r="G68" s="24">
        <f>533820+114800</f>
        <v>648620</v>
      </c>
      <c r="H68" s="24">
        <f>26750+4100</f>
        <v>30850</v>
      </c>
      <c r="I68" s="24">
        <v>0</v>
      </c>
      <c r="J68" s="23">
        <f t="shared" si="2"/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3">
        <f t="shared" si="9"/>
        <v>826466</v>
      </c>
    </row>
    <row r="69" spans="1:16" ht="41.25" customHeight="1" x14ac:dyDescent="0.25">
      <c r="A69" s="51" t="s">
        <v>112</v>
      </c>
      <c r="B69" s="20" t="s">
        <v>113</v>
      </c>
      <c r="C69" s="21" t="s">
        <v>114</v>
      </c>
      <c r="D69" s="22" t="s">
        <v>115</v>
      </c>
      <c r="E69" s="23">
        <f t="shared" si="8"/>
        <v>755904</v>
      </c>
      <c r="F69" s="39">
        <f>681004-73200-6600+98000+40000+16700</f>
        <v>755904</v>
      </c>
      <c r="G69" s="24">
        <f>525208-60000</f>
        <v>465208</v>
      </c>
      <c r="H69" s="24">
        <f>20250+7700</f>
        <v>27950</v>
      </c>
      <c r="I69" s="24">
        <v>0</v>
      </c>
      <c r="J69" s="23">
        <f t="shared" si="2"/>
        <v>0</v>
      </c>
      <c r="K69" s="24"/>
      <c r="L69" s="24">
        <v>0</v>
      </c>
      <c r="M69" s="24">
        <v>0</v>
      </c>
      <c r="N69" s="24">
        <v>0</v>
      </c>
      <c r="O69" s="24"/>
      <c r="P69" s="23">
        <f t="shared" si="9"/>
        <v>755904</v>
      </c>
    </row>
    <row r="70" spans="1:16" ht="41.25" customHeight="1" x14ac:dyDescent="0.25">
      <c r="A70" s="57" t="s">
        <v>198</v>
      </c>
      <c r="B70" s="20">
        <v>7321</v>
      </c>
      <c r="C70" s="25" t="s">
        <v>74</v>
      </c>
      <c r="D70" s="22" t="s">
        <v>197</v>
      </c>
      <c r="E70" s="23">
        <f t="shared" si="8"/>
        <v>0</v>
      </c>
      <c r="F70" s="39"/>
      <c r="G70" s="24"/>
      <c r="H70" s="24"/>
      <c r="I70" s="24"/>
      <c r="J70" s="23">
        <f t="shared" si="2"/>
        <v>900000</v>
      </c>
      <c r="K70" s="24">
        <v>900000</v>
      </c>
      <c r="L70" s="24"/>
      <c r="M70" s="24"/>
      <c r="N70" s="24"/>
      <c r="O70" s="24">
        <v>900000</v>
      </c>
      <c r="P70" s="23">
        <f t="shared" si="9"/>
        <v>900000</v>
      </c>
    </row>
    <row r="71" spans="1:16" ht="41.25" customHeight="1" x14ac:dyDescent="0.25">
      <c r="A71" s="57" t="s">
        <v>182</v>
      </c>
      <c r="B71" s="20">
        <v>7361</v>
      </c>
      <c r="C71" s="25" t="s">
        <v>81</v>
      </c>
      <c r="D71" s="22" t="s">
        <v>183</v>
      </c>
      <c r="E71" s="23">
        <f t="shared" si="8"/>
        <v>0</v>
      </c>
      <c r="F71" s="39"/>
      <c r="G71" s="24"/>
      <c r="H71" s="24"/>
      <c r="I71" s="24"/>
      <c r="J71" s="23">
        <f t="shared" si="2"/>
        <v>2493803</v>
      </c>
      <c r="K71" s="24">
        <f>1943803+550000</f>
        <v>2493803</v>
      </c>
      <c r="L71" s="24"/>
      <c r="M71" s="24"/>
      <c r="N71" s="24"/>
      <c r="O71" s="24">
        <f>1943803+550000</f>
        <v>2493803</v>
      </c>
      <c r="P71" s="23">
        <f t="shared" si="9"/>
        <v>2493803</v>
      </c>
    </row>
    <row r="72" spans="1:16" ht="21" customHeight="1" x14ac:dyDescent="0.25">
      <c r="A72" s="55" t="s">
        <v>186</v>
      </c>
      <c r="B72" s="34">
        <v>7370</v>
      </c>
      <c r="C72" s="41" t="s">
        <v>81</v>
      </c>
      <c r="D72" s="37" t="s">
        <v>187</v>
      </c>
      <c r="E72" s="23">
        <f t="shared" si="8"/>
        <v>171205</v>
      </c>
      <c r="F72" s="39">
        <f>99100+50000+22105</f>
        <v>171205</v>
      </c>
      <c r="G72" s="24">
        <v>0</v>
      </c>
      <c r="H72" s="24">
        <v>0</v>
      </c>
      <c r="I72" s="24">
        <v>0</v>
      </c>
      <c r="J72" s="23">
        <f>L72+O72</f>
        <v>0</v>
      </c>
      <c r="K72" s="24">
        <f>550000-550000</f>
        <v>0</v>
      </c>
      <c r="L72" s="24">
        <v>0</v>
      </c>
      <c r="M72" s="24">
        <v>0</v>
      </c>
      <c r="N72" s="24">
        <v>0</v>
      </c>
      <c r="O72" s="24">
        <f>550000-550000</f>
        <v>0</v>
      </c>
      <c r="P72" s="23">
        <f t="shared" si="9"/>
        <v>171205</v>
      </c>
    </row>
    <row r="73" spans="1:16" ht="24.75" customHeight="1" x14ac:dyDescent="0.25">
      <c r="A73" s="55" t="s">
        <v>156</v>
      </c>
      <c r="B73" s="34"/>
      <c r="C73" s="35"/>
      <c r="D73" s="45" t="s">
        <v>157</v>
      </c>
      <c r="E73" s="23">
        <f>E74</f>
        <v>1428634</v>
      </c>
      <c r="F73" s="23">
        <f t="shared" ref="F73:O73" si="10">F74</f>
        <v>1428634</v>
      </c>
      <c r="G73" s="23">
        <f t="shared" si="10"/>
        <v>338400</v>
      </c>
      <c r="H73" s="23">
        <f t="shared" si="10"/>
        <v>0</v>
      </c>
      <c r="I73" s="23">
        <f t="shared" si="10"/>
        <v>0</v>
      </c>
      <c r="J73" s="23">
        <f t="shared" si="10"/>
        <v>0</v>
      </c>
      <c r="K73" s="23">
        <f t="shared" si="10"/>
        <v>0</v>
      </c>
      <c r="L73" s="23">
        <f t="shared" si="10"/>
        <v>0</v>
      </c>
      <c r="M73" s="23">
        <f t="shared" si="10"/>
        <v>0</v>
      </c>
      <c r="N73" s="23">
        <f t="shared" si="10"/>
        <v>0</v>
      </c>
      <c r="O73" s="23">
        <f t="shared" si="10"/>
        <v>0</v>
      </c>
      <c r="P73" s="23">
        <f t="shared" ref="P73" si="11">P74</f>
        <v>1428634</v>
      </c>
    </row>
    <row r="74" spans="1:16" ht="26.25" customHeight="1" x14ac:dyDescent="0.25">
      <c r="A74" s="55" t="s">
        <v>158</v>
      </c>
      <c r="B74" s="34"/>
      <c r="C74" s="35"/>
      <c r="D74" s="45" t="s">
        <v>159</v>
      </c>
      <c r="E74" s="23">
        <f>E75+E77+E78+E79+E81+E83+E84+E86+E87+E91+E76</f>
        <v>1428634</v>
      </c>
      <c r="F74" s="23">
        <f>F75+F77+F78+F79+F81+F83+F84+F86+F87+F91+F76</f>
        <v>1428634</v>
      </c>
      <c r="G74" s="23">
        <f t="shared" ref="G74:O74" si="12">G75+G77+G78+G79+G81+G83+G84+G86+G87+G91</f>
        <v>338400</v>
      </c>
      <c r="H74" s="23">
        <f t="shared" si="12"/>
        <v>0</v>
      </c>
      <c r="I74" s="23">
        <f t="shared" si="12"/>
        <v>0</v>
      </c>
      <c r="J74" s="23">
        <f>J75+J77+J78+J79+J81+J83+J84+J86+J87+J91+J76</f>
        <v>0</v>
      </c>
      <c r="K74" s="23">
        <f>K75+K76</f>
        <v>0</v>
      </c>
      <c r="L74" s="23">
        <f t="shared" si="12"/>
        <v>0</v>
      </c>
      <c r="M74" s="23">
        <f t="shared" si="12"/>
        <v>0</v>
      </c>
      <c r="N74" s="23">
        <f t="shared" si="12"/>
        <v>0</v>
      </c>
      <c r="O74" s="23">
        <f t="shared" si="12"/>
        <v>0</v>
      </c>
      <c r="P74" s="23">
        <f>P75+P77+P78+P79+P81+P83+P84+P86+P87+P91+P76</f>
        <v>1428634</v>
      </c>
    </row>
    <row r="75" spans="1:16" ht="41.25" customHeight="1" x14ac:dyDescent="0.25">
      <c r="A75" s="55" t="s">
        <v>160</v>
      </c>
      <c r="B75" s="41" t="s">
        <v>27</v>
      </c>
      <c r="C75" s="41" t="s">
        <v>23</v>
      </c>
      <c r="D75" s="37" t="s">
        <v>120</v>
      </c>
      <c r="E75" s="23">
        <f>F75+I75</f>
        <v>425848</v>
      </c>
      <c r="F75" s="39">
        <f>539484-35136-91500+9000+4000</f>
        <v>425848</v>
      </c>
      <c r="G75" s="24">
        <f>442200-28800-75000</f>
        <v>338400</v>
      </c>
      <c r="H75" s="24"/>
      <c r="I75" s="24"/>
      <c r="J75" s="23">
        <f>L75+O75</f>
        <v>0</v>
      </c>
      <c r="K75" s="24"/>
      <c r="L75" s="24"/>
      <c r="M75" s="24"/>
      <c r="N75" s="24"/>
      <c r="O75" s="24"/>
      <c r="P75" s="23">
        <f>E75+J75</f>
        <v>425848</v>
      </c>
    </row>
    <row r="76" spans="1:16" ht="41.25" customHeight="1" x14ac:dyDescent="0.25">
      <c r="A76" s="49" t="s">
        <v>175</v>
      </c>
      <c r="B76" s="33" t="s">
        <v>176</v>
      </c>
      <c r="C76" s="33" t="s">
        <v>177</v>
      </c>
      <c r="D76" s="36" t="s">
        <v>178</v>
      </c>
      <c r="E76" s="23">
        <f>F76+I76</f>
        <v>725660</v>
      </c>
      <c r="F76" s="39">
        <f>316224+35136+374300</f>
        <v>725660</v>
      </c>
      <c r="G76" s="24">
        <f>288000+306500</f>
        <v>594500</v>
      </c>
      <c r="H76" s="24"/>
      <c r="I76" s="24"/>
      <c r="J76" s="23">
        <f>L76+O76</f>
        <v>0</v>
      </c>
      <c r="K76" s="24"/>
      <c r="L76" s="24"/>
      <c r="M76" s="24"/>
      <c r="N76" s="24"/>
      <c r="O76" s="24"/>
      <c r="P76" s="23">
        <f>E76+J76</f>
        <v>725660</v>
      </c>
    </row>
    <row r="77" spans="1:16" ht="41.25" customHeight="1" x14ac:dyDescent="0.25">
      <c r="A77" s="49" t="s">
        <v>163</v>
      </c>
      <c r="B77" s="34">
        <v>3032</v>
      </c>
      <c r="C77" s="41">
        <v>1070</v>
      </c>
      <c r="D77" s="36" t="s">
        <v>146</v>
      </c>
      <c r="E77" s="23">
        <f>F77+I77</f>
        <v>2126</v>
      </c>
      <c r="F77" s="39">
        <v>2126</v>
      </c>
      <c r="G77" s="24"/>
      <c r="H77" s="24"/>
      <c r="I77" s="24"/>
      <c r="J77" s="23">
        <f t="shared" ref="J77:J91" si="13">L77+O77</f>
        <v>0</v>
      </c>
      <c r="K77" s="24"/>
      <c r="L77" s="24"/>
      <c r="M77" s="24"/>
      <c r="N77" s="24"/>
      <c r="O77" s="24"/>
      <c r="P77" s="23">
        <f t="shared" ref="P77:P91" si="14">E77+J77</f>
        <v>2126</v>
      </c>
    </row>
    <row r="78" spans="1:16" ht="41.25" customHeight="1" x14ac:dyDescent="0.25">
      <c r="A78" s="50" t="s">
        <v>164</v>
      </c>
      <c r="B78" s="34" t="s">
        <v>28</v>
      </c>
      <c r="C78" s="35" t="s">
        <v>29</v>
      </c>
      <c r="D78" s="37" t="s">
        <v>30</v>
      </c>
      <c r="E78" s="23">
        <f t="shared" ref="E78:E91" si="15">F78+I78</f>
        <v>77000</v>
      </c>
      <c r="F78" s="39">
        <f>27000+50000</f>
        <v>77000</v>
      </c>
      <c r="G78" s="24"/>
      <c r="H78" s="24"/>
      <c r="I78" s="24"/>
      <c r="J78" s="23">
        <f t="shared" si="13"/>
        <v>0</v>
      </c>
      <c r="K78" s="24"/>
      <c r="L78" s="24"/>
      <c r="M78" s="24"/>
      <c r="N78" s="24"/>
      <c r="O78" s="24"/>
      <c r="P78" s="23">
        <f t="shared" si="14"/>
        <v>77000</v>
      </c>
    </row>
    <row r="79" spans="1:16" ht="41.25" customHeight="1" x14ac:dyDescent="0.25">
      <c r="A79" s="51" t="s">
        <v>165</v>
      </c>
      <c r="B79" s="20" t="s">
        <v>32</v>
      </c>
      <c r="C79" s="21" t="s">
        <v>29</v>
      </c>
      <c r="D79" s="22" t="s">
        <v>33</v>
      </c>
      <c r="E79" s="23">
        <f t="shared" si="15"/>
        <v>2100</v>
      </c>
      <c r="F79" s="39">
        <f>3150-1050</f>
        <v>2100</v>
      </c>
      <c r="G79" s="24"/>
      <c r="H79" s="24"/>
      <c r="I79" s="24"/>
      <c r="J79" s="23">
        <f t="shared" si="13"/>
        <v>0</v>
      </c>
      <c r="K79" s="24"/>
      <c r="L79" s="24"/>
      <c r="M79" s="24"/>
      <c r="N79" s="24"/>
      <c r="O79" s="24"/>
      <c r="P79" s="23">
        <f t="shared" si="14"/>
        <v>2100</v>
      </c>
    </row>
    <row r="80" spans="1:16" ht="52.5" customHeight="1" x14ac:dyDescent="0.25">
      <c r="A80" s="52"/>
      <c r="B80" s="10"/>
      <c r="C80" s="11"/>
      <c r="D80" s="12" t="s">
        <v>34</v>
      </c>
      <c r="E80" s="23">
        <f t="shared" si="15"/>
        <v>2100</v>
      </c>
      <c r="F80" s="42">
        <v>2100</v>
      </c>
      <c r="G80" s="24"/>
      <c r="H80" s="24"/>
      <c r="I80" s="24"/>
      <c r="J80" s="23">
        <f t="shared" si="13"/>
        <v>0</v>
      </c>
      <c r="K80" s="24"/>
      <c r="L80" s="24"/>
      <c r="M80" s="24"/>
      <c r="N80" s="24"/>
      <c r="O80" s="24"/>
      <c r="P80" s="23">
        <f t="shared" si="14"/>
        <v>2100</v>
      </c>
    </row>
    <row r="81" spans="1:16" ht="41.25" customHeight="1" x14ac:dyDescent="0.25">
      <c r="A81" s="51" t="s">
        <v>166</v>
      </c>
      <c r="B81" s="20" t="s">
        <v>36</v>
      </c>
      <c r="C81" s="21" t="s">
        <v>37</v>
      </c>
      <c r="D81" s="22" t="s">
        <v>38</v>
      </c>
      <c r="E81" s="23">
        <f t="shared" si="15"/>
        <v>3600</v>
      </c>
      <c r="F81" s="39">
        <f>5400-1800</f>
        <v>3600</v>
      </c>
      <c r="G81" s="24"/>
      <c r="H81" s="24"/>
      <c r="I81" s="24"/>
      <c r="J81" s="23">
        <f t="shared" si="13"/>
        <v>0</v>
      </c>
      <c r="K81" s="24"/>
      <c r="L81" s="24"/>
      <c r="M81" s="24"/>
      <c r="N81" s="24"/>
      <c r="O81" s="24"/>
      <c r="P81" s="23">
        <f t="shared" si="14"/>
        <v>3600</v>
      </c>
    </row>
    <row r="82" spans="1:16" ht="66" customHeight="1" x14ac:dyDescent="0.25">
      <c r="A82" s="51"/>
      <c r="B82" s="20"/>
      <c r="C82" s="21"/>
      <c r="D82" s="12" t="s">
        <v>39</v>
      </c>
      <c r="E82" s="23">
        <f t="shared" si="15"/>
        <v>3600</v>
      </c>
      <c r="F82" s="42">
        <v>3600</v>
      </c>
      <c r="G82" s="24"/>
      <c r="H82" s="24"/>
      <c r="I82" s="24"/>
      <c r="J82" s="23">
        <f t="shared" si="13"/>
        <v>0</v>
      </c>
      <c r="K82" s="24"/>
      <c r="L82" s="24"/>
      <c r="M82" s="24"/>
      <c r="N82" s="24"/>
      <c r="O82" s="24"/>
      <c r="P82" s="23">
        <f t="shared" si="14"/>
        <v>3600</v>
      </c>
    </row>
    <row r="83" spans="1:16" ht="71.25" customHeight="1" x14ac:dyDescent="0.25">
      <c r="A83" s="53" t="s">
        <v>167</v>
      </c>
      <c r="B83" s="25" t="s">
        <v>147</v>
      </c>
      <c r="C83" s="25" t="s">
        <v>42</v>
      </c>
      <c r="D83" s="12" t="s">
        <v>148</v>
      </c>
      <c r="E83" s="23">
        <f t="shared" si="15"/>
        <v>111100</v>
      </c>
      <c r="F83" s="42">
        <f>39000+72100</f>
        <v>111100</v>
      </c>
      <c r="G83" s="24"/>
      <c r="H83" s="24"/>
      <c r="I83" s="24"/>
      <c r="J83" s="23">
        <f t="shared" si="13"/>
        <v>0</v>
      </c>
      <c r="K83" s="24"/>
      <c r="L83" s="24"/>
      <c r="M83" s="24"/>
      <c r="N83" s="24"/>
      <c r="O83" s="24"/>
      <c r="P83" s="23">
        <f t="shared" si="14"/>
        <v>111100</v>
      </c>
    </row>
    <row r="84" spans="1:16" ht="54.75" customHeight="1" x14ac:dyDescent="0.25">
      <c r="A84" s="51" t="s">
        <v>168</v>
      </c>
      <c r="B84" s="20" t="s">
        <v>41</v>
      </c>
      <c r="C84" s="21" t="s">
        <v>42</v>
      </c>
      <c r="D84" s="22" t="s">
        <v>43</v>
      </c>
      <c r="E84" s="23">
        <f t="shared" si="15"/>
        <v>2300</v>
      </c>
      <c r="F84" s="39">
        <f>3450-1150</f>
        <v>2300</v>
      </c>
      <c r="G84" s="24"/>
      <c r="H84" s="24"/>
      <c r="I84" s="24"/>
      <c r="J84" s="23">
        <f t="shared" si="13"/>
        <v>0</v>
      </c>
      <c r="K84" s="24"/>
      <c r="L84" s="24"/>
      <c r="M84" s="24"/>
      <c r="N84" s="24"/>
      <c r="O84" s="24"/>
      <c r="P84" s="23">
        <f t="shared" si="14"/>
        <v>2300</v>
      </c>
    </row>
    <row r="85" spans="1:16" ht="90" customHeight="1" x14ac:dyDescent="0.25">
      <c r="A85" s="52"/>
      <c r="B85" s="10"/>
      <c r="C85" s="11"/>
      <c r="D85" s="12" t="s">
        <v>44</v>
      </c>
      <c r="E85" s="23">
        <f t="shared" si="15"/>
        <v>2300</v>
      </c>
      <c r="F85" s="42">
        <v>2300</v>
      </c>
      <c r="G85" s="24"/>
      <c r="H85" s="24"/>
      <c r="I85" s="24"/>
      <c r="J85" s="23">
        <f t="shared" si="13"/>
        <v>0</v>
      </c>
      <c r="K85" s="24"/>
      <c r="L85" s="24"/>
      <c r="M85" s="24"/>
      <c r="N85" s="24"/>
      <c r="O85" s="24"/>
      <c r="P85" s="23">
        <f t="shared" si="14"/>
        <v>2300</v>
      </c>
    </row>
    <row r="86" spans="1:16" ht="65.25" customHeight="1" x14ac:dyDescent="0.25">
      <c r="A86" s="57" t="s">
        <v>169</v>
      </c>
      <c r="B86" s="20">
        <v>3180</v>
      </c>
      <c r="C86" s="25">
        <v>1060</v>
      </c>
      <c r="D86" s="22" t="s">
        <v>149</v>
      </c>
      <c r="E86" s="23">
        <f t="shared" si="15"/>
        <v>4000</v>
      </c>
      <c r="F86" s="42">
        <v>4000</v>
      </c>
      <c r="G86" s="24"/>
      <c r="H86" s="24"/>
      <c r="I86" s="24"/>
      <c r="J86" s="23">
        <f t="shared" si="13"/>
        <v>0</v>
      </c>
      <c r="K86" s="24"/>
      <c r="L86" s="24"/>
      <c r="M86" s="24"/>
      <c r="N86" s="24"/>
      <c r="O86" s="24"/>
      <c r="P86" s="23">
        <f t="shared" si="14"/>
        <v>4000</v>
      </c>
    </row>
    <row r="87" spans="1:16" ht="40.5" customHeight="1" x14ac:dyDescent="0.25">
      <c r="A87" s="51" t="s">
        <v>170</v>
      </c>
      <c r="B87" s="20" t="s">
        <v>46</v>
      </c>
      <c r="C87" s="21" t="s">
        <v>37</v>
      </c>
      <c r="D87" s="22" t="s">
        <v>47</v>
      </c>
      <c r="E87" s="23">
        <f t="shared" si="15"/>
        <v>2900</v>
      </c>
      <c r="F87" s="39">
        <f>4350-1450</f>
        <v>2900</v>
      </c>
      <c r="G87" s="24"/>
      <c r="H87" s="24"/>
      <c r="I87" s="24"/>
      <c r="J87" s="23">
        <f t="shared" si="13"/>
        <v>0</v>
      </c>
      <c r="K87" s="24"/>
      <c r="L87" s="24"/>
      <c r="M87" s="24"/>
      <c r="N87" s="24"/>
      <c r="O87" s="24"/>
      <c r="P87" s="23">
        <f t="shared" si="14"/>
        <v>2900</v>
      </c>
    </row>
    <row r="88" spans="1:16" ht="41.25" hidden="1" customHeight="1" x14ac:dyDescent="0.25">
      <c r="A88" s="52"/>
      <c r="B88" s="10"/>
      <c r="C88" s="11"/>
      <c r="D88" s="12" t="s">
        <v>48</v>
      </c>
      <c r="E88" s="23">
        <f t="shared" si="15"/>
        <v>0</v>
      </c>
      <c r="F88" s="42"/>
      <c r="G88" s="24"/>
      <c r="H88" s="24"/>
      <c r="I88" s="24"/>
      <c r="J88" s="23">
        <f t="shared" si="13"/>
        <v>0</v>
      </c>
      <c r="K88" s="24"/>
      <c r="L88" s="24"/>
      <c r="M88" s="24"/>
      <c r="N88" s="24"/>
      <c r="O88" s="24"/>
      <c r="P88" s="23">
        <f t="shared" si="14"/>
        <v>0</v>
      </c>
    </row>
    <row r="89" spans="1:16" ht="63" customHeight="1" x14ac:dyDescent="0.25">
      <c r="A89" s="52"/>
      <c r="B89" s="10"/>
      <c r="C89" s="11"/>
      <c r="D89" s="12" t="s">
        <v>49</v>
      </c>
      <c r="E89" s="23">
        <f t="shared" si="15"/>
        <v>2900</v>
      </c>
      <c r="F89" s="42">
        <v>2900</v>
      </c>
      <c r="G89" s="24"/>
      <c r="H89" s="24"/>
      <c r="I89" s="24"/>
      <c r="J89" s="23">
        <f t="shared" si="13"/>
        <v>0</v>
      </c>
      <c r="K89" s="24"/>
      <c r="L89" s="24"/>
      <c r="M89" s="24"/>
      <c r="N89" s="24"/>
      <c r="O89" s="24"/>
      <c r="P89" s="23">
        <f t="shared" si="14"/>
        <v>2900</v>
      </c>
    </row>
    <row r="90" spans="1:16" ht="41.25" hidden="1" customHeight="1" x14ac:dyDescent="0.25">
      <c r="A90" s="51" t="s">
        <v>50</v>
      </c>
      <c r="B90" s="20" t="s">
        <v>51</v>
      </c>
      <c r="C90" s="21" t="s">
        <v>52</v>
      </c>
      <c r="D90" s="22" t="s">
        <v>53</v>
      </c>
      <c r="E90" s="23">
        <f t="shared" si="15"/>
        <v>0</v>
      </c>
      <c r="F90" s="39"/>
      <c r="G90" s="24"/>
      <c r="H90" s="24"/>
      <c r="I90" s="24"/>
      <c r="J90" s="23">
        <f t="shared" si="13"/>
        <v>0</v>
      </c>
      <c r="K90" s="24"/>
      <c r="L90" s="24"/>
      <c r="M90" s="24"/>
      <c r="N90" s="24"/>
      <c r="O90" s="24"/>
      <c r="P90" s="23">
        <f t="shared" si="14"/>
        <v>0</v>
      </c>
    </row>
    <row r="91" spans="1:16" ht="41.25" customHeight="1" x14ac:dyDescent="0.25">
      <c r="A91" s="51" t="s">
        <v>171</v>
      </c>
      <c r="B91" s="20" t="s">
        <v>55</v>
      </c>
      <c r="C91" s="21" t="s">
        <v>56</v>
      </c>
      <c r="D91" s="22" t="s">
        <v>57</v>
      </c>
      <c r="E91" s="23">
        <f t="shared" si="15"/>
        <v>72000</v>
      </c>
      <c r="F91" s="39">
        <v>72000</v>
      </c>
      <c r="G91" s="24"/>
      <c r="H91" s="24"/>
      <c r="I91" s="24"/>
      <c r="J91" s="23">
        <f t="shared" si="13"/>
        <v>0</v>
      </c>
      <c r="K91" s="24"/>
      <c r="L91" s="24"/>
      <c r="M91" s="24"/>
      <c r="N91" s="24"/>
      <c r="O91" s="24"/>
      <c r="P91" s="23">
        <f t="shared" si="14"/>
        <v>72000</v>
      </c>
    </row>
    <row r="92" spans="1:16" ht="18" customHeight="1" x14ac:dyDescent="0.25">
      <c r="A92" s="57" t="s">
        <v>141</v>
      </c>
      <c r="B92" s="25"/>
      <c r="C92" s="21"/>
      <c r="D92" s="38" t="s">
        <v>140</v>
      </c>
      <c r="E92" s="40">
        <f t="shared" ref="E92:I93" si="16">E93</f>
        <v>554440</v>
      </c>
      <c r="F92" s="39">
        <f t="shared" si="16"/>
        <v>554440</v>
      </c>
      <c r="G92" s="40">
        <f t="shared" si="16"/>
        <v>428650</v>
      </c>
      <c r="H92" s="40">
        <f t="shared" si="16"/>
        <v>6500</v>
      </c>
      <c r="I92" s="24">
        <f t="shared" si="16"/>
        <v>0</v>
      </c>
      <c r="J92" s="23">
        <f t="shared" si="2"/>
        <v>0</v>
      </c>
      <c r="K92" s="24"/>
      <c r="L92" s="24"/>
      <c r="M92" s="24"/>
      <c r="N92" s="24"/>
      <c r="O92" s="24"/>
      <c r="P92" s="23">
        <f>E92+J92</f>
        <v>554440</v>
      </c>
    </row>
    <row r="93" spans="1:16" ht="21" customHeight="1" x14ac:dyDescent="0.25">
      <c r="A93" s="57" t="s">
        <v>143</v>
      </c>
      <c r="B93" s="25"/>
      <c r="C93" s="21"/>
      <c r="D93" s="38" t="s">
        <v>140</v>
      </c>
      <c r="E93" s="40">
        <f t="shared" si="16"/>
        <v>554440</v>
      </c>
      <c r="F93" s="39">
        <f t="shared" si="16"/>
        <v>554440</v>
      </c>
      <c r="G93" s="40">
        <f t="shared" si="16"/>
        <v>428650</v>
      </c>
      <c r="H93" s="40">
        <f t="shared" si="16"/>
        <v>6500</v>
      </c>
      <c r="I93" s="24">
        <f t="shared" si="16"/>
        <v>0</v>
      </c>
      <c r="J93" s="23">
        <f t="shared" si="2"/>
        <v>0</v>
      </c>
      <c r="K93" s="24"/>
      <c r="L93" s="24"/>
      <c r="M93" s="24"/>
      <c r="N93" s="24"/>
      <c r="O93" s="24"/>
      <c r="P93" s="23">
        <f t="shared" ref="P93:P98" si="17">E93+J93</f>
        <v>554440</v>
      </c>
    </row>
    <row r="94" spans="1:16" ht="45.75" customHeight="1" x14ac:dyDescent="0.25">
      <c r="A94" s="57" t="s">
        <v>142</v>
      </c>
      <c r="B94" s="25" t="s">
        <v>27</v>
      </c>
      <c r="C94" s="25" t="s">
        <v>23</v>
      </c>
      <c r="D94" s="45" t="s">
        <v>120</v>
      </c>
      <c r="E94" s="39">
        <f t="shared" si="8"/>
        <v>554440</v>
      </c>
      <c r="F94" s="48">
        <f>678440-120000-4000</f>
        <v>554440</v>
      </c>
      <c r="G94" s="24">
        <f>527000-98350</f>
        <v>428650</v>
      </c>
      <c r="H94" s="24">
        <f>10500-4000</f>
        <v>6500</v>
      </c>
      <c r="I94" s="24">
        <v>0</v>
      </c>
      <c r="J94" s="23">
        <f t="shared" si="2"/>
        <v>0</v>
      </c>
      <c r="K94" s="24"/>
      <c r="L94" s="24"/>
      <c r="M94" s="24"/>
      <c r="N94" s="24"/>
      <c r="O94" s="24"/>
      <c r="P94" s="23">
        <f t="shared" si="17"/>
        <v>554440</v>
      </c>
    </row>
    <row r="95" spans="1:16" x14ac:dyDescent="0.25">
      <c r="A95" s="56" t="s">
        <v>116</v>
      </c>
      <c r="B95" s="6"/>
      <c r="C95" s="7"/>
      <c r="D95" s="8" t="s">
        <v>117</v>
      </c>
      <c r="E95" s="9">
        <f>E96</f>
        <v>3598756</v>
      </c>
      <c r="F95" s="59">
        <f t="shared" ref="F95:O95" si="18">F96</f>
        <v>3578756</v>
      </c>
      <c r="G95" s="9">
        <f t="shared" si="18"/>
        <v>461475</v>
      </c>
      <c r="H95" s="9">
        <f t="shared" si="18"/>
        <v>6500</v>
      </c>
      <c r="I95" s="9">
        <f t="shared" si="18"/>
        <v>0</v>
      </c>
      <c r="J95" s="23">
        <f t="shared" si="2"/>
        <v>0</v>
      </c>
      <c r="K95" s="9">
        <f t="shared" si="18"/>
        <v>0</v>
      </c>
      <c r="L95" s="9">
        <f t="shared" si="18"/>
        <v>0</v>
      </c>
      <c r="M95" s="9">
        <f t="shared" si="18"/>
        <v>0</v>
      </c>
      <c r="N95" s="9">
        <f t="shared" si="18"/>
        <v>0</v>
      </c>
      <c r="O95" s="9">
        <f t="shared" si="18"/>
        <v>0</v>
      </c>
      <c r="P95" s="9">
        <f>E95+J95</f>
        <v>3598756</v>
      </c>
    </row>
    <row r="96" spans="1:16" x14ac:dyDescent="0.25">
      <c r="A96" s="56" t="s">
        <v>118</v>
      </c>
      <c r="B96" s="6"/>
      <c r="C96" s="7"/>
      <c r="D96" s="8" t="s">
        <v>117</v>
      </c>
      <c r="E96" s="9">
        <f>E97+E98+E101+E99</f>
        <v>3598756</v>
      </c>
      <c r="F96" s="59">
        <f t="shared" ref="F96:O96" si="19">F97+F98+F101+F99</f>
        <v>3578756</v>
      </c>
      <c r="G96" s="9">
        <f>G97+G98+G101+G99</f>
        <v>461475</v>
      </c>
      <c r="H96" s="9">
        <f t="shared" si="19"/>
        <v>6500</v>
      </c>
      <c r="I96" s="9">
        <f t="shared" si="19"/>
        <v>0</v>
      </c>
      <c r="J96" s="23">
        <f t="shared" si="2"/>
        <v>0</v>
      </c>
      <c r="K96" s="9">
        <f t="shared" si="19"/>
        <v>0</v>
      </c>
      <c r="L96" s="9">
        <f t="shared" si="19"/>
        <v>0</v>
      </c>
      <c r="M96" s="9">
        <f t="shared" si="19"/>
        <v>0</v>
      </c>
      <c r="N96" s="9">
        <f t="shared" si="19"/>
        <v>0</v>
      </c>
      <c r="O96" s="9">
        <f t="shared" si="19"/>
        <v>0</v>
      </c>
      <c r="P96" s="9">
        <f>E96+J96</f>
        <v>3598756</v>
      </c>
    </row>
    <row r="97" spans="1:16" ht="49.5" customHeight="1" x14ac:dyDescent="0.25">
      <c r="A97" s="51" t="s">
        <v>119</v>
      </c>
      <c r="B97" s="20" t="s">
        <v>27</v>
      </c>
      <c r="C97" s="21" t="s">
        <v>23</v>
      </c>
      <c r="D97" s="22" t="s">
        <v>120</v>
      </c>
      <c r="E97" s="23">
        <f>F97+I97</f>
        <v>599440</v>
      </c>
      <c r="F97" s="48">
        <f>683440-80000-4000</f>
        <v>599440</v>
      </c>
      <c r="G97" s="24">
        <f>527000-65525</f>
        <v>461475</v>
      </c>
      <c r="H97" s="24">
        <f>10500-4000</f>
        <v>6500</v>
      </c>
      <c r="I97" s="24">
        <v>0</v>
      </c>
      <c r="J97" s="23">
        <f t="shared" si="2"/>
        <v>0</v>
      </c>
      <c r="K97" s="24">
        <v>0</v>
      </c>
      <c r="L97" s="24">
        <v>0</v>
      </c>
      <c r="M97" s="24">
        <v>0</v>
      </c>
      <c r="N97" s="24">
        <v>0</v>
      </c>
      <c r="O97" s="24">
        <v>0</v>
      </c>
      <c r="P97" s="23">
        <f t="shared" si="17"/>
        <v>599440</v>
      </c>
    </row>
    <row r="98" spans="1:16" x14ac:dyDescent="0.25">
      <c r="A98" s="51" t="s">
        <v>121</v>
      </c>
      <c r="B98" s="20" t="s">
        <v>122</v>
      </c>
      <c r="C98" s="21" t="s">
        <v>26</v>
      </c>
      <c r="D98" s="22" t="s">
        <v>123</v>
      </c>
      <c r="E98" s="23">
        <v>20000</v>
      </c>
      <c r="F98" s="39">
        <v>0</v>
      </c>
      <c r="G98" s="24">
        <v>0</v>
      </c>
      <c r="H98" s="24">
        <v>0</v>
      </c>
      <c r="I98" s="24">
        <v>0</v>
      </c>
      <c r="J98" s="23">
        <f t="shared" si="2"/>
        <v>0</v>
      </c>
      <c r="K98" s="24">
        <v>0</v>
      </c>
      <c r="L98" s="24">
        <v>0</v>
      </c>
      <c r="M98" s="24">
        <v>0</v>
      </c>
      <c r="N98" s="24">
        <v>0</v>
      </c>
      <c r="O98" s="24">
        <v>0</v>
      </c>
      <c r="P98" s="23">
        <f t="shared" si="17"/>
        <v>20000</v>
      </c>
    </row>
    <row r="99" spans="1:16" ht="69.75" customHeight="1" x14ac:dyDescent="0.25">
      <c r="A99" s="50">
        <v>3719430</v>
      </c>
      <c r="B99" s="34">
        <v>9430</v>
      </c>
      <c r="C99" s="35" t="s">
        <v>25</v>
      </c>
      <c r="D99" s="37" t="s">
        <v>124</v>
      </c>
      <c r="E99" s="23">
        <f>F99+I99</f>
        <v>83700</v>
      </c>
      <c r="F99" s="39">
        <f>55800+27900</f>
        <v>83700</v>
      </c>
      <c r="G99" s="24"/>
      <c r="H99" s="24"/>
      <c r="I99" s="24"/>
      <c r="J99" s="23">
        <f t="shared" si="2"/>
        <v>0</v>
      </c>
      <c r="K99" s="24"/>
      <c r="L99" s="24"/>
      <c r="M99" s="24"/>
      <c r="N99" s="24"/>
      <c r="O99" s="24"/>
      <c r="P99" s="23">
        <f>E99</f>
        <v>83700</v>
      </c>
    </row>
    <row r="100" spans="1:16" ht="60.75" customHeight="1" x14ac:dyDescent="0.25">
      <c r="A100" s="51"/>
      <c r="B100" s="20"/>
      <c r="C100" s="21"/>
      <c r="D100" s="12" t="s">
        <v>125</v>
      </c>
      <c r="E100" s="23">
        <f>F100+I100</f>
        <v>83700</v>
      </c>
      <c r="F100" s="42">
        <f>55800+27900</f>
        <v>83700</v>
      </c>
      <c r="G100" s="24"/>
      <c r="H100" s="24"/>
      <c r="I100" s="24"/>
      <c r="J100" s="23">
        <f t="shared" si="2"/>
        <v>0</v>
      </c>
      <c r="K100" s="24"/>
      <c r="L100" s="24"/>
      <c r="M100" s="24"/>
      <c r="N100" s="24"/>
      <c r="O100" s="24"/>
      <c r="P100" s="23">
        <f>E100</f>
        <v>83700</v>
      </c>
    </row>
    <row r="101" spans="1:16" ht="18.75" customHeight="1" x14ac:dyDescent="0.25">
      <c r="A101" s="51" t="s">
        <v>126</v>
      </c>
      <c r="B101" s="20" t="s">
        <v>127</v>
      </c>
      <c r="C101" s="21" t="s">
        <v>25</v>
      </c>
      <c r="D101" s="22" t="s">
        <v>128</v>
      </c>
      <c r="E101" s="23">
        <f>F101+I101</f>
        <v>2895616</v>
      </c>
      <c r="F101" s="24">
        <f>855500+25000+10000+1275971+137143+578555+430965+35000+111126-316224-282800+35380</f>
        <v>2895616</v>
      </c>
      <c r="G101" s="24">
        <v>0</v>
      </c>
      <c r="H101" s="24">
        <v>0</v>
      </c>
      <c r="I101" s="47"/>
      <c r="J101" s="23">
        <f t="shared" si="2"/>
        <v>0</v>
      </c>
      <c r="K101" s="24">
        <v>0</v>
      </c>
      <c r="L101" s="24">
        <v>0</v>
      </c>
      <c r="M101" s="24">
        <v>0</v>
      </c>
      <c r="N101" s="24">
        <v>0</v>
      </c>
      <c r="O101" s="24">
        <v>0</v>
      </c>
      <c r="P101" s="23">
        <f>E101+J101</f>
        <v>2895616</v>
      </c>
    </row>
    <row r="102" spans="1:16" x14ac:dyDescent="0.25">
      <c r="A102" s="14" t="s">
        <v>129</v>
      </c>
      <c r="B102" s="15" t="s">
        <v>129</v>
      </c>
      <c r="C102" s="16" t="s">
        <v>129</v>
      </c>
      <c r="D102" s="17" t="s">
        <v>130</v>
      </c>
      <c r="E102" s="9">
        <f>E95+E53+E15+E92+E73</f>
        <v>55995788</v>
      </c>
      <c r="F102" s="9">
        <f>F95+F53+F15+F92+F73</f>
        <v>55975788</v>
      </c>
      <c r="G102" s="9">
        <f t="shared" ref="G102:O102" si="20">G95+G53+G15+G92+G73</f>
        <v>37233836</v>
      </c>
      <c r="H102" s="9">
        <f t="shared" si="20"/>
        <v>2844010</v>
      </c>
      <c r="I102" s="9">
        <f t="shared" si="20"/>
        <v>0</v>
      </c>
      <c r="J102" s="9">
        <f>J95+J53+J15+J92+J73</f>
        <v>9143140</v>
      </c>
      <c r="K102" s="9">
        <f>K95+K53+K15+K92+K73</f>
        <v>8177857</v>
      </c>
      <c r="L102" s="9">
        <f t="shared" si="20"/>
        <v>965283</v>
      </c>
      <c r="M102" s="9">
        <f t="shared" si="20"/>
        <v>0</v>
      </c>
      <c r="N102" s="9">
        <f t="shared" si="20"/>
        <v>0</v>
      </c>
      <c r="O102" s="9">
        <f t="shared" si="20"/>
        <v>8177857</v>
      </c>
      <c r="P102" s="9">
        <f>P95+P53+P15+P92+P73</f>
        <v>65138928</v>
      </c>
    </row>
    <row r="103" spans="1:16" x14ac:dyDescent="0.25">
      <c r="A103" s="26"/>
      <c r="B103" s="26"/>
      <c r="C103" s="26"/>
      <c r="D103" s="26"/>
      <c r="E103" s="27"/>
      <c r="F103" s="26"/>
      <c r="G103" s="26"/>
      <c r="H103" s="28"/>
      <c r="I103" s="26"/>
      <c r="J103" s="26"/>
      <c r="K103" s="26"/>
      <c r="L103" s="26"/>
      <c r="M103" s="26"/>
      <c r="N103" s="26"/>
      <c r="O103" s="26"/>
      <c r="P103" s="26"/>
    </row>
    <row r="104" spans="1:16" x14ac:dyDescent="0.25">
      <c r="A104" s="29"/>
      <c r="B104" s="29"/>
      <c r="C104" s="29"/>
      <c r="D104" s="29"/>
      <c r="E104" s="27"/>
      <c r="F104" s="29"/>
      <c r="G104" s="29"/>
      <c r="H104" s="29"/>
      <c r="I104" s="29"/>
      <c r="J104" s="30"/>
      <c r="K104" s="29"/>
      <c r="L104" s="29"/>
      <c r="M104" s="29"/>
      <c r="N104" s="29"/>
      <c r="O104" s="29"/>
      <c r="P104" s="30"/>
    </row>
    <row r="105" spans="1:16" x14ac:dyDescent="0.25">
      <c r="B105" s="19" t="s">
        <v>131</v>
      </c>
      <c r="E105" s="18"/>
      <c r="I105" s="19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2021-07-27T07:17:01Z</dcterms:modified>
</cp:coreProperties>
</file>