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 (2)" sheetId="4" r:id="rId1"/>
    <sheet name="Лист1" sheetId="1" r:id="rId2"/>
  </sheets>
  <calcPr calcId="145621"/>
</workbook>
</file>

<file path=xl/calcChain.xml><?xml version="1.0" encoding="utf-8"?>
<calcChain xmlns="http://schemas.openxmlformats.org/spreadsheetml/2006/main">
  <c r="E19" i="4" l="1"/>
  <c r="E104" i="4"/>
  <c r="F81" i="4" l="1"/>
  <c r="F109" i="4" l="1"/>
  <c r="E107" i="4"/>
  <c r="F104" i="4" l="1"/>
  <c r="J110" i="4"/>
  <c r="E110" i="4"/>
  <c r="P110" i="4" s="1"/>
  <c r="J109" i="4" l="1"/>
  <c r="E109" i="4"/>
  <c r="P109" i="4" s="1"/>
  <c r="J108" i="4"/>
  <c r="E108" i="4"/>
  <c r="P108" i="4" s="1"/>
  <c r="J107" i="4"/>
  <c r="P107" i="4"/>
  <c r="J106" i="4"/>
  <c r="P106" i="4" s="1"/>
  <c r="J105" i="4"/>
  <c r="E105" i="4"/>
  <c r="O104" i="4"/>
  <c r="J104" i="4" s="1"/>
  <c r="N104" i="4"/>
  <c r="M104" i="4"/>
  <c r="L104" i="4"/>
  <c r="K104" i="4"/>
  <c r="I104" i="4"/>
  <c r="H104" i="4"/>
  <c r="G104" i="4"/>
  <c r="O103" i="4"/>
  <c r="N103" i="4"/>
  <c r="M103" i="4"/>
  <c r="L103" i="4"/>
  <c r="K103" i="4"/>
  <c r="I103" i="4"/>
  <c r="H103" i="4"/>
  <c r="G103" i="4"/>
  <c r="F103" i="4"/>
  <c r="J102" i="4"/>
  <c r="G101" i="4"/>
  <c r="G100" i="4" s="1"/>
  <c r="E102" i="4"/>
  <c r="P102" i="4" s="1"/>
  <c r="J101" i="4"/>
  <c r="I101" i="4"/>
  <c r="H101" i="4"/>
  <c r="H100" i="4" s="1"/>
  <c r="F101" i="4"/>
  <c r="F100" i="4" s="1"/>
  <c r="J100" i="4"/>
  <c r="I100" i="4"/>
  <c r="J99" i="4"/>
  <c r="E99" i="4"/>
  <c r="P99" i="4" s="1"/>
  <c r="J98" i="4"/>
  <c r="E98" i="4"/>
  <c r="P98" i="4" s="1"/>
  <c r="J97" i="4"/>
  <c r="E97" i="4"/>
  <c r="P97" i="4" s="1"/>
  <c r="J96" i="4"/>
  <c r="P96" i="4" s="1"/>
  <c r="E96" i="4"/>
  <c r="J95" i="4"/>
  <c r="E95" i="4"/>
  <c r="P95" i="4" s="1"/>
  <c r="J94" i="4"/>
  <c r="E94" i="4"/>
  <c r="P94" i="4" s="1"/>
  <c r="J93" i="4"/>
  <c r="E93" i="4"/>
  <c r="P93" i="4" s="1"/>
  <c r="J92" i="4"/>
  <c r="E92" i="4"/>
  <c r="P92" i="4" s="1"/>
  <c r="J91" i="4"/>
  <c r="E91" i="4"/>
  <c r="P91" i="4" s="1"/>
  <c r="E90" i="4"/>
  <c r="P90" i="4" s="1"/>
  <c r="J89" i="4"/>
  <c r="E89" i="4"/>
  <c r="P89" i="4" s="1"/>
  <c r="J88" i="4"/>
  <c r="E88" i="4"/>
  <c r="P88" i="4" s="1"/>
  <c r="J87" i="4"/>
  <c r="E87" i="4"/>
  <c r="P87" i="4" s="1"/>
  <c r="J86" i="4"/>
  <c r="E86" i="4"/>
  <c r="P86" i="4" s="1"/>
  <c r="J85" i="4"/>
  <c r="E85" i="4"/>
  <c r="P85" i="4" s="1"/>
  <c r="J84" i="4"/>
  <c r="E84" i="4"/>
  <c r="P84" i="4" s="1"/>
  <c r="J83" i="4"/>
  <c r="E83" i="4"/>
  <c r="P83" i="4" s="1"/>
  <c r="J82" i="4"/>
  <c r="J81" i="4" s="1"/>
  <c r="J80" i="4" s="1"/>
  <c r="E82" i="4"/>
  <c r="P82" i="4" s="1"/>
  <c r="O81" i="4"/>
  <c r="N81" i="4"/>
  <c r="M81" i="4"/>
  <c r="L81" i="4"/>
  <c r="K81" i="4"/>
  <c r="I81" i="4"/>
  <c r="H81" i="4"/>
  <c r="G81" i="4"/>
  <c r="O80" i="4"/>
  <c r="N80" i="4"/>
  <c r="M80" i="4"/>
  <c r="L80" i="4"/>
  <c r="K80" i="4"/>
  <c r="I80" i="4"/>
  <c r="H80" i="4"/>
  <c r="G80" i="4"/>
  <c r="J79" i="4"/>
  <c r="E79" i="4"/>
  <c r="J78" i="4"/>
  <c r="E78" i="4"/>
  <c r="J77" i="4"/>
  <c r="E77" i="4"/>
  <c r="J76" i="4"/>
  <c r="E76" i="4"/>
  <c r="J75" i="4"/>
  <c r="E75" i="4"/>
  <c r="J74" i="4"/>
  <c r="E74" i="4"/>
  <c r="P74" i="4" s="1"/>
  <c r="J73" i="4"/>
  <c r="E73" i="4"/>
  <c r="J72" i="4"/>
  <c r="E72" i="4"/>
  <c r="P72" i="4" s="1"/>
  <c r="J71" i="4"/>
  <c r="E71" i="4"/>
  <c r="P71" i="4" s="1"/>
  <c r="J70" i="4"/>
  <c r="E70" i="4"/>
  <c r="P70" i="4" s="1"/>
  <c r="P69" i="4"/>
  <c r="J69" i="4"/>
  <c r="E69" i="4"/>
  <c r="J68" i="4"/>
  <c r="E68" i="4"/>
  <c r="P68" i="4" s="1"/>
  <c r="J67" i="4"/>
  <c r="E67" i="4"/>
  <c r="J66" i="4"/>
  <c r="E66" i="4"/>
  <c r="P66" i="4" s="1"/>
  <c r="J65" i="4"/>
  <c r="E65" i="4"/>
  <c r="J64" i="4"/>
  <c r="F64" i="4"/>
  <c r="E64" i="4"/>
  <c r="P64" i="4" s="1"/>
  <c r="J63" i="4"/>
  <c r="E63" i="4"/>
  <c r="O62" i="4"/>
  <c r="J62" i="4" s="1"/>
  <c r="K62" i="4"/>
  <c r="F62" i="4"/>
  <c r="E62" i="4"/>
  <c r="J61" i="4"/>
  <c r="P61" i="4" s="1"/>
  <c r="E61" i="4"/>
  <c r="J60" i="4"/>
  <c r="E60" i="4"/>
  <c r="P60" i="4" s="1"/>
  <c r="J59" i="4"/>
  <c r="E59" i="4"/>
  <c r="P59" i="4" s="1"/>
  <c r="N58" i="4"/>
  <c r="N55" i="4" s="1"/>
  <c r="N54" i="4" s="1"/>
  <c r="M58" i="4"/>
  <c r="J58" i="4"/>
  <c r="E58" i="4"/>
  <c r="J57" i="4"/>
  <c r="H55" i="4"/>
  <c r="H54" i="4" s="1"/>
  <c r="F55" i="4"/>
  <c r="F54" i="4" s="1"/>
  <c r="P56" i="4"/>
  <c r="J56" i="4"/>
  <c r="E56" i="4"/>
  <c r="O55" i="4"/>
  <c r="O54" i="4" s="1"/>
  <c r="M55" i="4"/>
  <c r="M54" i="4" s="1"/>
  <c r="L55" i="4"/>
  <c r="K55" i="4"/>
  <c r="K54" i="4" s="1"/>
  <c r="I55" i="4"/>
  <c r="I54" i="4" s="1"/>
  <c r="G55" i="4"/>
  <c r="G54" i="4" s="1"/>
  <c r="L54" i="4"/>
  <c r="J53" i="4"/>
  <c r="P53" i="4" s="1"/>
  <c r="E53" i="4"/>
  <c r="J52" i="4"/>
  <c r="E52" i="4"/>
  <c r="J51" i="4"/>
  <c r="E51" i="4"/>
  <c r="J50" i="4"/>
  <c r="E50" i="4"/>
  <c r="P50" i="4" s="1"/>
  <c r="J49" i="4"/>
  <c r="E49" i="4"/>
  <c r="J48" i="4"/>
  <c r="E48" i="4"/>
  <c r="P48" i="4" s="1"/>
  <c r="P47" i="4"/>
  <c r="J47" i="4"/>
  <c r="E47" i="4"/>
  <c r="J46" i="4"/>
  <c r="E46" i="4"/>
  <c r="J45" i="4"/>
  <c r="E45" i="4"/>
  <c r="P45" i="4" s="1"/>
  <c r="J44" i="4"/>
  <c r="E44" i="4"/>
  <c r="P44" i="4" s="1"/>
  <c r="J43" i="4"/>
  <c r="E43" i="4"/>
  <c r="P43" i="4" s="1"/>
  <c r="P42" i="4"/>
  <c r="J42" i="4"/>
  <c r="E42" i="4"/>
  <c r="J41" i="4"/>
  <c r="E41" i="4"/>
  <c r="P41" i="4" s="1"/>
  <c r="J40" i="4"/>
  <c r="E40" i="4"/>
  <c r="P40" i="4" s="1"/>
  <c r="J39" i="4"/>
  <c r="E39" i="4"/>
  <c r="J38" i="4"/>
  <c r="E38" i="4"/>
  <c r="P38" i="4" s="1"/>
  <c r="J37" i="4"/>
  <c r="F37" i="4"/>
  <c r="E37" i="4" s="1"/>
  <c r="P37" i="4" s="1"/>
  <c r="P36" i="4"/>
  <c r="J36" i="4"/>
  <c r="E36" i="4"/>
  <c r="J35" i="4"/>
  <c r="F35" i="4"/>
  <c r="E35" i="4"/>
  <c r="P35" i="4" s="1"/>
  <c r="J34" i="4"/>
  <c r="E34" i="4"/>
  <c r="P34" i="4" s="1"/>
  <c r="J33" i="4"/>
  <c r="F33" i="4"/>
  <c r="E33" i="4" s="1"/>
  <c r="P33" i="4" s="1"/>
  <c r="J32" i="4"/>
  <c r="E32" i="4"/>
  <c r="P32" i="4" s="1"/>
  <c r="J31" i="4"/>
  <c r="F31" i="4"/>
  <c r="E31" i="4"/>
  <c r="P31" i="4" s="1"/>
  <c r="J30" i="4"/>
  <c r="F30" i="4"/>
  <c r="E30" i="4"/>
  <c r="P30" i="4" s="1"/>
  <c r="J29" i="4"/>
  <c r="F29" i="4"/>
  <c r="E29" i="4"/>
  <c r="P29" i="4" s="1"/>
  <c r="J28" i="4"/>
  <c r="F28" i="4"/>
  <c r="E28" i="4"/>
  <c r="P28" i="4" s="1"/>
  <c r="J27" i="4"/>
  <c r="F27" i="4"/>
  <c r="E27" i="4"/>
  <c r="P27" i="4" s="1"/>
  <c r="J26" i="4"/>
  <c r="F26" i="4"/>
  <c r="E26" i="4"/>
  <c r="P26" i="4" s="1"/>
  <c r="J25" i="4"/>
  <c r="F25" i="4"/>
  <c r="E25" i="4"/>
  <c r="P25" i="4" s="1"/>
  <c r="J24" i="4"/>
  <c r="F24" i="4"/>
  <c r="E24" i="4"/>
  <c r="P24" i="4" s="1"/>
  <c r="J23" i="4"/>
  <c r="F23" i="4"/>
  <c r="E23" i="4"/>
  <c r="P23" i="4" s="1"/>
  <c r="J22" i="4"/>
  <c r="E22" i="4"/>
  <c r="P22" i="4" s="1"/>
  <c r="J21" i="4"/>
  <c r="F21" i="4"/>
  <c r="E21" i="4" s="1"/>
  <c r="J20" i="4"/>
  <c r="H16" i="4"/>
  <c r="H15" i="4" s="1"/>
  <c r="E20" i="4"/>
  <c r="P20" i="4" s="1"/>
  <c r="J19" i="4"/>
  <c r="P19" i="4"/>
  <c r="J18" i="4"/>
  <c r="E18" i="4"/>
  <c r="P18" i="4" s="1"/>
  <c r="J17" i="4"/>
  <c r="E17" i="4"/>
  <c r="E16" i="4" s="1"/>
  <c r="O16" i="4"/>
  <c r="N16" i="4"/>
  <c r="M16" i="4"/>
  <c r="L16" i="4"/>
  <c r="K16" i="4"/>
  <c r="K15" i="4" s="1"/>
  <c r="I16" i="4"/>
  <c r="I15" i="4" s="1"/>
  <c r="G16" i="4"/>
  <c r="G15" i="4" s="1"/>
  <c r="N15" i="4"/>
  <c r="M15" i="4"/>
  <c r="L15" i="4"/>
  <c r="P49" i="4" l="1"/>
  <c r="P62" i="4"/>
  <c r="P79" i="4"/>
  <c r="P78" i="4"/>
  <c r="P77" i="4"/>
  <c r="J55" i="4"/>
  <c r="P75" i="4"/>
  <c r="P73" i="4"/>
  <c r="P67" i="4"/>
  <c r="P65" i="4"/>
  <c r="P63" i="4"/>
  <c r="J54" i="4"/>
  <c r="M111" i="4"/>
  <c r="N111" i="4"/>
  <c r="P58" i="4"/>
  <c r="P52" i="4"/>
  <c r="P51" i="4"/>
  <c r="L111" i="4"/>
  <c r="J16" i="4"/>
  <c r="J15" i="4" s="1"/>
  <c r="P46" i="4"/>
  <c r="P39" i="4"/>
  <c r="P17" i="4"/>
  <c r="P105" i="4"/>
  <c r="E103" i="4"/>
  <c r="P103" i="4" s="1"/>
  <c r="K111" i="4"/>
  <c r="H111" i="4"/>
  <c r="P81" i="4"/>
  <c r="P80" i="4" s="1"/>
  <c r="I111" i="4"/>
  <c r="P21" i="4"/>
  <c r="P76" i="4"/>
  <c r="G111" i="4"/>
  <c r="E57" i="4"/>
  <c r="J103" i="4"/>
  <c r="E81" i="4"/>
  <c r="E80" i="4" s="1"/>
  <c r="O15" i="4"/>
  <c r="O111" i="4" s="1"/>
  <c r="F16" i="4"/>
  <c r="F15" i="4" s="1"/>
  <c r="F80" i="4"/>
  <c r="E101" i="4"/>
  <c r="P110" i="1"/>
  <c r="J111" i="4" l="1"/>
  <c r="P104" i="4"/>
  <c r="F111" i="4"/>
  <c r="E15" i="4"/>
  <c r="P16" i="4"/>
  <c r="P15" i="4" s="1"/>
  <c r="P101" i="4"/>
  <c r="E100" i="4"/>
  <c r="P100" i="4" s="1"/>
  <c r="E55" i="4"/>
  <c r="P57" i="4"/>
  <c r="O76" i="1"/>
  <c r="K76" i="1"/>
  <c r="F40" i="1"/>
  <c r="E54" i="4" l="1"/>
  <c r="P55" i="4"/>
  <c r="E81" i="1"/>
  <c r="E90" i="1"/>
  <c r="P90" i="1" s="1"/>
  <c r="G81" i="1"/>
  <c r="F81" i="1"/>
  <c r="G75" i="1"/>
  <c r="F75" i="1"/>
  <c r="G74" i="1"/>
  <c r="F74" i="1"/>
  <c r="P54" i="4" l="1"/>
  <c r="P111" i="4" s="1"/>
  <c r="E111" i="4"/>
  <c r="O52" i="1"/>
  <c r="K52" i="1" l="1"/>
  <c r="O77" i="1"/>
  <c r="K77" i="1"/>
  <c r="F58" i="1" l="1"/>
  <c r="F18" i="1" l="1"/>
  <c r="F71" i="1"/>
  <c r="G105" i="1"/>
  <c r="F105" i="1"/>
  <c r="G102" i="1"/>
  <c r="F102" i="1"/>
  <c r="O17" i="1"/>
  <c r="K17" i="1"/>
  <c r="H17" i="1"/>
  <c r="F17" i="1"/>
  <c r="G17" i="1"/>
  <c r="H57" i="1"/>
  <c r="G57" i="1"/>
  <c r="H58" i="1"/>
  <c r="F57" i="1"/>
  <c r="H74" i="1"/>
  <c r="F79" i="1"/>
  <c r="G58" i="1"/>
  <c r="L55" i="1" l="1"/>
  <c r="M55" i="1"/>
  <c r="N55" i="1"/>
  <c r="O55" i="1"/>
  <c r="K55" i="1"/>
  <c r="J78" i="1"/>
  <c r="E78" i="1"/>
  <c r="P78" i="1" l="1"/>
  <c r="F51" i="1"/>
  <c r="H39" i="1" l="1"/>
  <c r="F39" i="1"/>
  <c r="F38" i="1" l="1"/>
  <c r="O57" i="1"/>
  <c r="K57" i="1"/>
  <c r="H75" i="1"/>
  <c r="F109" i="1"/>
  <c r="I55" i="1"/>
  <c r="H55" i="1"/>
  <c r="G55" i="1"/>
  <c r="J56" i="1"/>
  <c r="E56" i="1"/>
  <c r="F19" i="1"/>
  <c r="G83" i="1"/>
  <c r="F83" i="1"/>
  <c r="O58" i="1"/>
  <c r="K58" i="1"/>
  <c r="F63" i="1"/>
  <c r="P56" i="1" l="1"/>
  <c r="F55" i="1"/>
  <c r="F88" i="1" l="1"/>
  <c r="F89" i="1"/>
  <c r="F86" i="1"/>
  <c r="F87" i="1"/>
  <c r="G22" i="1" l="1"/>
  <c r="F22" i="1"/>
  <c r="G71" i="1" l="1"/>
  <c r="F72" i="1"/>
  <c r="H20" i="1" l="1"/>
  <c r="F20" i="1"/>
  <c r="F99" i="1"/>
  <c r="F82" i="1"/>
  <c r="O51" i="1"/>
  <c r="K51" i="1"/>
  <c r="E73" i="1"/>
  <c r="J73" i="1"/>
  <c r="H71" i="1"/>
  <c r="P73" i="1" l="1"/>
  <c r="J17" i="1"/>
  <c r="J40" i="1"/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1" i="1"/>
  <c r="J42" i="1"/>
  <c r="J43" i="1"/>
  <c r="J72" i="1" l="1"/>
  <c r="E72" i="1"/>
  <c r="P72" i="1" l="1"/>
  <c r="J53" i="1"/>
  <c r="E53" i="1"/>
  <c r="P53" i="1" l="1"/>
  <c r="F45" i="1"/>
  <c r="E46" i="1" l="1"/>
  <c r="E47" i="1"/>
  <c r="E48" i="1"/>
  <c r="E49" i="1"/>
  <c r="E50" i="1"/>
  <c r="E51" i="1"/>
  <c r="E52" i="1"/>
  <c r="H105" i="1" l="1"/>
  <c r="H102" i="1"/>
  <c r="G82" i="1"/>
  <c r="K64" i="1" l="1"/>
  <c r="F64" i="1"/>
  <c r="E63" i="1"/>
  <c r="E65" i="1"/>
  <c r="J65" i="1"/>
  <c r="F62" i="1"/>
  <c r="J63" i="1"/>
  <c r="O62" i="1"/>
  <c r="K62" i="1"/>
  <c r="P63" i="1" l="1"/>
  <c r="P65" i="1"/>
  <c r="J58" i="1" l="1"/>
  <c r="F107" i="1" l="1"/>
  <c r="F108" i="1"/>
  <c r="J76" i="1" l="1"/>
  <c r="E76" i="1"/>
  <c r="P76" i="1" l="1"/>
  <c r="F91" i="1"/>
  <c r="L16" i="1"/>
  <c r="I16" i="1" l="1"/>
  <c r="M16" i="1"/>
  <c r="N16" i="1"/>
  <c r="J52" i="1"/>
  <c r="P52" i="1" s="1"/>
  <c r="E19" i="1"/>
  <c r="P19" i="1" s="1"/>
  <c r="J57" i="1"/>
  <c r="M58" i="1"/>
  <c r="N58" i="1"/>
  <c r="J62" i="1"/>
  <c r="J64" i="1"/>
  <c r="E60" i="1"/>
  <c r="E61" i="1"/>
  <c r="E62" i="1"/>
  <c r="P62" i="1" s="1"/>
  <c r="E64" i="1"/>
  <c r="P64" i="1" l="1"/>
  <c r="J51" i="1"/>
  <c r="P51" i="1" s="1"/>
  <c r="G39" i="1" l="1"/>
  <c r="G16" i="1" s="1"/>
  <c r="O50" i="1" l="1"/>
  <c r="O16" i="1" s="1"/>
  <c r="J16" i="1" s="1"/>
  <c r="J15" i="1" s="1"/>
  <c r="K50" i="1"/>
  <c r="K16" i="1" s="1"/>
  <c r="J84" i="1" l="1"/>
  <c r="J85" i="1"/>
  <c r="J86" i="1"/>
  <c r="J87" i="1"/>
  <c r="J88" i="1"/>
  <c r="J89" i="1"/>
  <c r="J91" i="1"/>
  <c r="J92" i="1"/>
  <c r="J93" i="1"/>
  <c r="J94" i="1"/>
  <c r="J95" i="1"/>
  <c r="J96" i="1"/>
  <c r="J97" i="1"/>
  <c r="J98" i="1"/>
  <c r="J99" i="1"/>
  <c r="K81" i="1" l="1"/>
  <c r="J83" i="1"/>
  <c r="J60" i="1" l="1"/>
  <c r="P60" i="1" s="1"/>
  <c r="J61" i="1"/>
  <c r="P61" i="1" s="1"/>
  <c r="J50" i="1" l="1"/>
  <c r="P50" i="1" s="1"/>
  <c r="J77" i="1" l="1"/>
  <c r="E77" i="1"/>
  <c r="P77" i="1" l="1"/>
  <c r="J49" i="1" l="1"/>
  <c r="P49" i="1" s="1"/>
  <c r="J47" i="1"/>
  <c r="P47" i="1" s="1"/>
  <c r="J48" i="1"/>
  <c r="F37" i="1"/>
  <c r="P48" i="1" l="1"/>
  <c r="E83" i="1"/>
  <c r="O66" i="1"/>
  <c r="J67" i="1"/>
  <c r="E67" i="1"/>
  <c r="K66" i="1"/>
  <c r="F66" i="1"/>
  <c r="F101" i="1"/>
  <c r="F100" i="1" s="1"/>
  <c r="E41" i="1"/>
  <c r="E42" i="1"/>
  <c r="E43" i="1"/>
  <c r="P43" i="1" s="1"/>
  <c r="F35" i="1"/>
  <c r="F33" i="1"/>
  <c r="F31" i="1"/>
  <c r="F30" i="1"/>
  <c r="F29" i="1"/>
  <c r="F28" i="1"/>
  <c r="F27" i="1"/>
  <c r="F26" i="1"/>
  <c r="F25" i="1"/>
  <c r="F24" i="1"/>
  <c r="F23" i="1"/>
  <c r="F21" i="1"/>
  <c r="H81" i="1"/>
  <c r="I81" i="1"/>
  <c r="L81" i="1"/>
  <c r="M81" i="1"/>
  <c r="N81" i="1"/>
  <c r="O81" i="1"/>
  <c r="E99" i="1"/>
  <c r="P99" i="1" s="1"/>
  <c r="E98" i="1"/>
  <c r="P98" i="1" s="1"/>
  <c r="E97" i="1"/>
  <c r="P97" i="1" s="1"/>
  <c r="E96" i="1"/>
  <c r="P96" i="1" s="1"/>
  <c r="F95" i="1"/>
  <c r="E95" i="1" s="1"/>
  <c r="P95" i="1" s="1"/>
  <c r="E94" i="1"/>
  <c r="P94" i="1" s="1"/>
  <c r="E93" i="1"/>
  <c r="P93" i="1" s="1"/>
  <c r="F92" i="1"/>
  <c r="E92" i="1" s="1"/>
  <c r="P92" i="1" s="1"/>
  <c r="E91" i="1"/>
  <c r="P91" i="1" s="1"/>
  <c r="E89" i="1"/>
  <c r="P89" i="1" s="1"/>
  <c r="E88" i="1"/>
  <c r="P88" i="1" s="1"/>
  <c r="E87" i="1"/>
  <c r="P87" i="1" s="1"/>
  <c r="E86" i="1"/>
  <c r="P86" i="1" s="1"/>
  <c r="F85" i="1"/>
  <c r="E85" i="1" s="1"/>
  <c r="P85" i="1" s="1"/>
  <c r="E84" i="1"/>
  <c r="P84" i="1" s="1"/>
  <c r="P67" i="1" l="1"/>
  <c r="P83" i="1"/>
  <c r="F80" i="1" l="1"/>
  <c r="G80" i="1"/>
  <c r="H80" i="1"/>
  <c r="I80" i="1"/>
  <c r="K80" i="1"/>
  <c r="L80" i="1"/>
  <c r="M80" i="1"/>
  <c r="N80" i="1"/>
  <c r="O80" i="1"/>
  <c r="J82" i="1"/>
  <c r="E82" i="1"/>
  <c r="J81" i="1" l="1"/>
  <c r="J80" i="1" s="1"/>
  <c r="E80" i="1"/>
  <c r="P82" i="1"/>
  <c r="P81" i="1" s="1"/>
  <c r="P80" i="1" l="1"/>
  <c r="J66" i="1"/>
  <c r="E66" i="1"/>
  <c r="P66" i="1" l="1"/>
  <c r="J79" i="1"/>
  <c r="E79" i="1"/>
  <c r="F16" i="1"/>
  <c r="E40" i="1"/>
  <c r="E18" i="1"/>
  <c r="P18" i="1" s="1"/>
  <c r="E109" i="1"/>
  <c r="P41" i="1"/>
  <c r="P42" i="1"/>
  <c r="J44" i="1"/>
  <c r="J45" i="1"/>
  <c r="J46" i="1"/>
  <c r="P46" i="1" s="1"/>
  <c r="J59" i="1"/>
  <c r="J68" i="1"/>
  <c r="J69" i="1"/>
  <c r="J70" i="1"/>
  <c r="J71" i="1"/>
  <c r="J74" i="1"/>
  <c r="J75" i="1"/>
  <c r="J100" i="1"/>
  <c r="J101" i="1"/>
  <c r="J102" i="1"/>
  <c r="J105" i="1"/>
  <c r="J106" i="1"/>
  <c r="P106" i="1" s="1"/>
  <c r="J107" i="1"/>
  <c r="J108" i="1"/>
  <c r="J109" i="1"/>
  <c r="E30" i="1"/>
  <c r="E27" i="1"/>
  <c r="E21" i="1"/>
  <c r="E58" i="1"/>
  <c r="E107" i="1"/>
  <c r="P107" i="1" s="1"/>
  <c r="E108" i="1"/>
  <c r="P108" i="1" s="1"/>
  <c r="E105" i="1"/>
  <c r="G101" i="1"/>
  <c r="G100" i="1" s="1"/>
  <c r="H101" i="1"/>
  <c r="H100" i="1" s="1"/>
  <c r="I101" i="1"/>
  <c r="I100" i="1" s="1"/>
  <c r="G104" i="1"/>
  <c r="G103" i="1" s="1"/>
  <c r="E102" i="1"/>
  <c r="E101" i="1" s="1"/>
  <c r="E100" i="1" s="1"/>
  <c r="E44" i="1"/>
  <c r="E45" i="1"/>
  <c r="G15" i="1"/>
  <c r="I15" i="1"/>
  <c r="K15" i="1"/>
  <c r="L15" i="1"/>
  <c r="M15" i="1"/>
  <c r="N15" i="1"/>
  <c r="O15" i="1"/>
  <c r="E20" i="1"/>
  <c r="E69" i="1"/>
  <c r="E70" i="1"/>
  <c r="E71" i="1"/>
  <c r="E74" i="1"/>
  <c r="E75" i="1"/>
  <c r="E68" i="1"/>
  <c r="E59" i="1"/>
  <c r="E37" i="1"/>
  <c r="E39" i="1"/>
  <c r="E31" i="1"/>
  <c r="E32" i="1"/>
  <c r="E33" i="1"/>
  <c r="E34" i="1"/>
  <c r="E35" i="1"/>
  <c r="E36" i="1"/>
  <c r="E29" i="1"/>
  <c r="E25" i="1"/>
  <c r="E26" i="1"/>
  <c r="E28" i="1"/>
  <c r="E24" i="1"/>
  <c r="E22" i="1"/>
  <c r="E23" i="1"/>
  <c r="E17" i="1"/>
  <c r="O104" i="1"/>
  <c r="O103" i="1" s="1"/>
  <c r="N104" i="1"/>
  <c r="N103" i="1" s="1"/>
  <c r="M104" i="1"/>
  <c r="M103" i="1" s="1"/>
  <c r="L104" i="1"/>
  <c r="L103" i="1" s="1"/>
  <c r="K104" i="1"/>
  <c r="K103" i="1" s="1"/>
  <c r="I104" i="1"/>
  <c r="I103" i="1" s="1"/>
  <c r="H104" i="1"/>
  <c r="H103" i="1" s="1"/>
  <c r="J104" i="1"/>
  <c r="J55" i="1" l="1"/>
  <c r="H16" i="1"/>
  <c r="H15" i="1" s="1"/>
  <c r="P58" i="1"/>
  <c r="P105" i="1"/>
  <c r="P27" i="1"/>
  <c r="F15" i="1"/>
  <c r="P20" i="1"/>
  <c r="P17" i="1"/>
  <c r="E38" i="1"/>
  <c r="E16" i="1" s="1"/>
  <c r="P79" i="1"/>
  <c r="P21" i="1"/>
  <c r="P24" i="1"/>
  <c r="P74" i="1"/>
  <c r="P23" i="1"/>
  <c r="P101" i="1"/>
  <c r="P29" i="1"/>
  <c r="P33" i="1"/>
  <c r="P45" i="1"/>
  <c r="P35" i="1"/>
  <c r="P31" i="1"/>
  <c r="P39" i="1"/>
  <c r="P68" i="1"/>
  <c r="P44" i="1"/>
  <c r="P71" i="1"/>
  <c r="P26" i="1"/>
  <c r="P37" i="1"/>
  <c r="P22" i="1"/>
  <c r="P34" i="1"/>
  <c r="P59" i="1"/>
  <c r="P102" i="1"/>
  <c r="P69" i="1"/>
  <c r="P36" i="1"/>
  <c r="P75" i="1"/>
  <c r="P25" i="1"/>
  <c r="P28" i="1"/>
  <c r="P32" i="1"/>
  <c r="P100" i="1"/>
  <c r="P70" i="1"/>
  <c r="P30" i="1"/>
  <c r="P40" i="1"/>
  <c r="P109" i="1"/>
  <c r="E104" i="1"/>
  <c r="J103" i="1"/>
  <c r="F104" i="1"/>
  <c r="F103" i="1" s="1"/>
  <c r="P16" i="1" l="1"/>
  <c r="P15" i="1" s="1"/>
  <c r="P38" i="1"/>
  <c r="E15" i="1"/>
  <c r="E110" i="1" s="1"/>
  <c r="P104" i="1"/>
  <c r="E103" i="1"/>
  <c r="P103" i="1" l="1"/>
  <c r="I54" i="1" l="1"/>
  <c r="I110" i="1" s="1"/>
  <c r="N54" i="1"/>
  <c r="N110" i="1" s="1"/>
  <c r="O54" i="1"/>
  <c r="O110" i="1" s="1"/>
  <c r="M54" i="1"/>
  <c r="M110" i="1" s="1"/>
  <c r="G54" i="1"/>
  <c r="G110" i="1" s="1"/>
  <c r="H54" i="1"/>
  <c r="H110" i="1" s="1"/>
  <c r="K54" i="1"/>
  <c r="K110" i="1" s="1"/>
  <c r="F54" i="1"/>
  <c r="F110" i="1" s="1"/>
  <c r="L54" i="1"/>
  <c r="E57" i="1"/>
  <c r="E55" i="1" s="1"/>
  <c r="P55" i="1" s="1"/>
  <c r="E54" i="1" l="1"/>
  <c r="P57" i="1"/>
  <c r="J54" i="1"/>
  <c r="J110" i="1" s="1"/>
  <c r="L110" i="1"/>
  <c r="P54" i="1" l="1"/>
</calcChain>
</file>

<file path=xl/sharedStrings.xml><?xml version="1.0" encoding="utf-8"?>
<sst xmlns="http://schemas.openxmlformats.org/spreadsheetml/2006/main" count="597" uniqueCount="222">
  <si>
    <t>Додаток 3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</si>
  <si>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</si>
  <si>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</si>
  <si>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</si>
  <si>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</si>
  <si>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</si>
  <si>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</si>
  <si>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</si>
  <si>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</si>
  <si>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</si>
  <si>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</si>
  <si>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</si>
  <si>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</si>
  <si>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</si>
  <si>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</si>
  <si>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</si>
  <si>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</si>
  <si>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</si>
  <si>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</si>
  <si>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</si>
  <si>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</si>
  <si>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</si>
  <si>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</si>
  <si>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</si>
  <si>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</si>
  <si>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</si>
  <si>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</si>
  <si>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</si>
  <si>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</si>
  <si>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</si>
  <si>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</si>
  <si>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</si>
  <si>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</si>
  <si>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</si>
  <si>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</si>
  <si>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</si>
  <si>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</si>
  <si>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</si>
  <si>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</si>
  <si>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</si>
  <si>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</si>
  <si>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</si>
  <si>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</si>
  <si>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</si>
  <si>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</si>
  <si>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</si>
  <si>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</si>
  <si>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</si>
  <si>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</si>
  <si>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</si>
  <si>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</si>
  <si>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</si>
  <si>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</si>
  <si>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</si>
  <si>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</si>
  <si>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</si>
  <si>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</si>
  <si>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</si>
  <si>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</si>
  <si>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</si>
  <si>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</si>
  <si>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</si>
  <si>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</si>
  <si>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</si>
  <si>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</si>
  <si>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</si>
  <si>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</si>
  <si>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</si>
  <si>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</si>
  <si>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</si>
  <si>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</si>
  <si>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</si>
  <si>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</si>
  <si>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</si>
  <si>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</si>
  <si>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</si>
  <si>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</si>
  <si>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</si>
  <si>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</si>
  <si>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</si>
  <si>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</si>
  <si>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</si>
  <si>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</si>
  <si>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</si>
  <si>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</si>
  <si>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</si>
  <si>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</si>
  <si>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</si>
  <si>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</si>
  <si>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</si>
  <si>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</si>
  <si>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</si>
  <si>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</si>
  <si>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</si>
  <si>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</si>
  <si>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</si>
  <si>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</si>
  <si>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</si>
  <si>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</si>
  <si>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</si>
  <si>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</si>
  <si>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</si>
  <si>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</si>
  <si>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</si>
  <si>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</si>
  <si>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</si>
  <si>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</si>
  <si>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</si>
  <si>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</si>
  <si>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</si>
  <si>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</si>
  <si>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</si>
  <si>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</si>
  <si>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</si>
  <si>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</si>
  <si>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</si>
  <si>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</si>
  <si>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</si>
  <si>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</si>
  <si>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</si>
  <si>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</si>
  <si>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</si>
  <si>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</si>
  <si>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</si>
  <si>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</si>
  <si>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</si>
  <si>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</si>
  <si>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</si>
  <si>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</si>
  <si>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</si>
  <si>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</si>
  <si>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</si>
  <si>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</si>
  <si>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</si>
  <si>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</si>
  <si>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</si>
  <si>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</si>
  <si>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</si>
  <si>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</si>
  <si>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</si>
  <si>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</si>
  <si>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</si>
  <si>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</si>
  <si>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</si>
  <si>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</si>
  <si>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</si>
  <si>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</si>
  <si>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</si>
  <si>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</si>
  <si>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</si>
  <si>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</si>
  <si>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</si>
  <si>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</si>
  <si>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</si>
  <si>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</si>
  <si>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</si>
  <si>
    <t>0800000</t>
  </si>
  <si>
    <t xml:space="preserve">Орган з питань праці та соціального захисту населення </t>
  </si>
  <si>
    <t>0810000</t>
  </si>
  <si>
    <t xml:space="preserve">'Орган з питань праці та соціального захисту населення </t>
  </si>
  <si>
    <t>0810160</t>
  </si>
  <si>
    <t>"Про   внесення змін  до бюджету  Синюхино-Брідської  сільської територіальної  громади   на 2021 рік"</t>
  </si>
  <si>
    <t>Інші заходи, пов'язані з економічною діяльністю</t>
  </si>
  <si>
    <t>0813032</t>
  </si>
  <si>
    <t>0813033</t>
  </si>
  <si>
    <t>0813050</t>
  </si>
  <si>
    <t>0813090</t>
  </si>
  <si>
    <t>0813160</t>
  </si>
  <si>
    <t>0813171</t>
  </si>
  <si>
    <t>0813180</t>
  </si>
  <si>
    <t>0813191</t>
  </si>
  <si>
    <t>0813242</t>
  </si>
  <si>
    <t>0117693</t>
  </si>
  <si>
    <t>'Надання освіти  за рахунок залишку коштів за субвенцією з державного бюджету місцевим бюджетам на надання державної підтримки особам  з особливими освітніми потребами</t>
  </si>
  <si>
    <t>0611210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</si>
  <si>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</si>
  <si>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</si>
  <si>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</si>
  <si>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</si>
  <si>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Будівництво об'єктів житлово-комунального господарства</t>
  </si>
  <si>
    <t>0117321</t>
  </si>
  <si>
    <t>0117310</t>
  </si>
  <si>
    <t>0617361</t>
  </si>
  <si>
    <t>Співфінансування інвестиційних проектів, що реалізуються за рахунок коштів державного фонду регіонального розвитку</t>
  </si>
  <si>
    <t>0117330</t>
  </si>
  <si>
    <t xml:space="preserve">Будівництво1 інших об'єктів комунальної власності
</t>
  </si>
  <si>
    <t>0617370</t>
  </si>
  <si>
    <t>Реалізація інших заходів щодо соціально-економічного розвитку територій</t>
  </si>
  <si>
    <t xml:space="preserve"> 'Організація та проведення громадських робіт</t>
  </si>
  <si>
    <t>в т.ч. за рахунок субвенція з обл.бюджету місцевим бюджетам на здійснення  заходів щодо соц-економ.розвитку тер.громад Микол.обл</t>
  </si>
  <si>
    <t>0117370</t>
  </si>
  <si>
    <t>в т.ч. за рахунок залишку освітньої субвенції, що утворився станом на 01.01.21</t>
  </si>
  <si>
    <t>0118110</t>
  </si>
  <si>
    <t xml:space="preserve">Заходи із запобігання та ліквідації надзвичайних ситуацій та наслідків стихійного лиха
</t>
  </si>
  <si>
    <t>0117390</t>
  </si>
  <si>
    <t>0190</t>
  </si>
  <si>
    <t>'Розвиток мережі центрів надання адміністративних послуг</t>
  </si>
  <si>
    <t xml:space="preserve">Будівництво1 освітніх установ та закладів
</t>
  </si>
  <si>
    <t>0617321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</si>
  <si>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</si>
  <si>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</si>
  <si>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Заходи,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</si>
  <si>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0117540</t>
  </si>
  <si>
    <t>0460</t>
  </si>
  <si>
    <t>Реалізація заходів,спрямованих на підвищення доступості широкосмугового доступу до інтернету в сільській місцевості</t>
  </si>
  <si>
    <t>0611061</t>
  </si>
  <si>
    <t>0611142</t>
  </si>
  <si>
    <t>1142</t>
  </si>
  <si>
    <t>'Інші програми та заходи у сфері освіти</t>
  </si>
  <si>
    <t>0619770</t>
  </si>
  <si>
    <t>0610160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</si>
  <si>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</si>
  <si>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</si>
  <si>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0611182</t>
  </si>
  <si>
    <t>від 08.12.2021р №</t>
  </si>
  <si>
    <t>0813112</t>
  </si>
  <si>
    <t>1040</t>
  </si>
  <si>
    <t>Заходи державної політики з питань дітей та їх соціального захисту</t>
  </si>
  <si>
    <t>"Про    бюджет  Синюхино-Брідської  сільської територіальної  громади   на 2022 рік"</t>
  </si>
  <si>
    <t>в т.ч. за рахунок коштів місцевого бюджету</t>
  </si>
  <si>
    <t>Дотація з місцевого бюджету на проведення розрахунків
протягом опалювального періоду за комунальні послуги та
енергоносії, які споживаються установами, організаціями,
підприємствами, що утримуються за рахунок відповідних місцевих
бюджетів за рахунок відповідної додаткової дотації з державного бюджету</t>
  </si>
  <si>
    <t>від 23 грудня       2021р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</si>
</sst>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  <font>
      <sz val="10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333333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4" fillId="6" borderId="1" xfId="0" applyNumberFormat="1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quotePrefix="1" applyFont="1" applyFill="1" applyBorder="1" applyAlignment="1">
      <alignment horizontal="center" vertical="center" wrapText="1"/>
    </xf>
    <xf numFmtId="0" fontId="4" fillId="6" borderId="1" xfId="0" quotePrefix="1" applyFont="1" applyFill="1" applyBorder="1" applyAlignment="1">
      <alignment horizontal="center" vertical="center" wrapText="1"/>
    </xf>
    <xf numFmtId="0" fontId="3" fillId="6" borderId="1" xfId="0" quotePrefix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7" fillId="6" borderId="1" xfId="0" quotePrefix="1" applyFont="1" applyFill="1" applyBorder="1" applyAlignment="1">
      <alignment horizontal="center" vertical="center" wrapText="1"/>
    </xf>
    <xf numFmtId="49" fontId="5" fillId="6" borderId="1" xfId="0" quotePrefix="1" applyNumberFormat="1" applyFont="1" applyFill="1" applyBorder="1" applyAlignment="1">
      <alignment horizontal="center" vertical="center" wrapText="1"/>
    </xf>
    <xf numFmtId="0" fontId="1" fillId="6" borderId="1" xfId="0" quotePrefix="1" applyFont="1" applyFill="1" applyBorder="1" applyAlignment="1">
      <alignment horizontal="center" vertical="center" wrapText="1"/>
    </xf>
    <xf numFmtId="49" fontId="4" fillId="6" borderId="1" xfId="0" quotePrefix="1" applyNumberFormat="1" applyFont="1" applyFill="1" applyBorder="1" applyAlignment="1">
      <alignment horizontal="center" vertical="center" wrapText="1"/>
    </xf>
    <xf numFmtId="49" fontId="3" fillId="6" borderId="1" xfId="0" quotePrefix="1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0" fontId="9" fillId="0" borderId="0" xfId="0" applyFont="1"/>
    <xf numFmtId="49" fontId="3" fillId="0" borderId="1" xfId="0" quotePrefix="1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0" fillId="6" borderId="3" xfId="0" applyFont="1" applyFill="1" applyBorder="1" applyAlignment="1">
      <alignment horizontal="left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4"/>
  <sheetViews>
    <sheetView tabSelected="1" workbookViewId="0">
      <selection activeCell="M5" sqref="M5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2.42578125" customWidth="1"/>
    <col min="11" max="11" width="13" customWidth="1"/>
    <col min="12" max="12" width="11.7109375" customWidth="1"/>
    <col min="13" max="13" width="10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73" t="s">
        <v>218</v>
      </c>
      <c r="N4" s="73"/>
      <c r="O4" s="73"/>
      <c r="P4" s="73"/>
    </row>
    <row r="5" spans="1:16" x14ac:dyDescent="0.25">
      <c r="M5" s="60" t="s">
        <v>221</v>
      </c>
    </row>
    <row r="6" spans="1:16" x14ac:dyDescent="0.25">
      <c r="A6" s="74" t="s">
        <v>1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</row>
    <row r="7" spans="1:16" x14ac:dyDescent="0.25">
      <c r="A7" s="74" t="s">
        <v>2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</row>
    <row r="8" spans="1:16" x14ac:dyDescent="0.25">
      <c r="A8" s="32">
        <v>14555000000</v>
      </c>
      <c r="B8" s="67"/>
      <c r="C8" s="67"/>
      <c r="D8" s="67"/>
      <c r="E8" s="67"/>
      <c r="F8" s="67"/>
      <c r="G8" s="76">
        <v>14555000000</v>
      </c>
      <c r="H8" s="76"/>
      <c r="I8" s="76"/>
      <c r="J8" s="67"/>
      <c r="K8" s="67"/>
      <c r="L8" s="67"/>
      <c r="M8" s="67"/>
      <c r="N8" s="67"/>
      <c r="O8" s="67"/>
      <c r="P8" s="67"/>
    </row>
    <row r="9" spans="1:16" x14ac:dyDescent="0.25">
      <c r="A9" s="2" t="s">
        <v>3</v>
      </c>
      <c r="G9" s="77" t="s">
        <v>3</v>
      </c>
      <c r="H9" s="77"/>
      <c r="I9" s="77"/>
      <c r="P9" s="3" t="s">
        <v>4</v>
      </c>
    </row>
    <row r="10" spans="1:16" x14ac:dyDescent="0.25">
      <c r="A10" s="71" t="s">
        <v>5</v>
      </c>
      <c r="B10" s="71" t="s">
        <v>6</v>
      </c>
      <c r="C10" s="71" t="s">
        <v>7</v>
      </c>
      <c r="D10" s="72" t="s">
        <v>8</v>
      </c>
      <c r="E10" s="72" t="s">
        <v>9</v>
      </c>
      <c r="F10" s="72"/>
      <c r="G10" s="72"/>
      <c r="H10" s="72"/>
      <c r="I10" s="72"/>
      <c r="J10" s="72" t="s">
        <v>10</v>
      </c>
      <c r="K10" s="72"/>
      <c r="L10" s="72"/>
      <c r="M10" s="72"/>
      <c r="N10" s="72"/>
      <c r="O10" s="72"/>
      <c r="P10" s="78" t="s">
        <v>11</v>
      </c>
    </row>
    <row r="11" spans="1:16" x14ac:dyDescent="0.25">
      <c r="A11" s="72"/>
      <c r="B11" s="72"/>
      <c r="C11" s="72"/>
      <c r="D11" s="72"/>
      <c r="E11" s="78" t="s">
        <v>12</v>
      </c>
      <c r="F11" s="72" t="s">
        <v>13</v>
      </c>
      <c r="G11" s="72" t="s">
        <v>14</v>
      </c>
      <c r="H11" s="72"/>
      <c r="I11" s="72" t="s">
        <v>15</v>
      </c>
      <c r="J11" s="78" t="s">
        <v>12</v>
      </c>
      <c r="K11" s="72" t="s">
        <v>16</v>
      </c>
      <c r="L11" s="72" t="s">
        <v>13</v>
      </c>
      <c r="M11" s="72" t="s">
        <v>14</v>
      </c>
      <c r="N11" s="72"/>
      <c r="O11" s="72" t="s">
        <v>15</v>
      </c>
      <c r="P11" s="72"/>
    </row>
    <row r="12" spans="1:16" x14ac:dyDescent="0.25">
      <c r="A12" s="72"/>
      <c r="B12" s="72"/>
      <c r="C12" s="72"/>
      <c r="D12" s="72"/>
      <c r="E12" s="72"/>
      <c r="F12" s="72"/>
      <c r="G12" s="72" t="s">
        <v>17</v>
      </c>
      <c r="H12" s="72" t="s">
        <v>18</v>
      </c>
      <c r="I12" s="72"/>
      <c r="J12" s="72"/>
      <c r="K12" s="72"/>
      <c r="L12" s="72"/>
      <c r="M12" s="72" t="s">
        <v>17</v>
      </c>
      <c r="N12" s="72" t="s">
        <v>18</v>
      </c>
      <c r="O12" s="72"/>
      <c r="P12" s="72"/>
    </row>
    <row r="13" spans="1:16" ht="24.75" customHeight="1" x14ac:dyDescent="0.25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</row>
    <row r="14" spans="1:16" x14ac:dyDescent="0.25">
      <c r="A14" s="68">
        <v>1</v>
      </c>
      <c r="B14" s="68">
        <v>2</v>
      </c>
      <c r="C14" s="68">
        <v>3</v>
      </c>
      <c r="D14" s="68">
        <v>4</v>
      </c>
      <c r="E14" s="69">
        <v>5</v>
      </c>
      <c r="F14" s="68">
        <v>6</v>
      </c>
      <c r="G14" s="68">
        <v>7</v>
      </c>
      <c r="H14" s="68">
        <v>8</v>
      </c>
      <c r="I14" s="68">
        <v>9</v>
      </c>
      <c r="J14" s="69">
        <v>10</v>
      </c>
      <c r="K14" s="68">
        <v>11</v>
      </c>
      <c r="L14" s="68">
        <v>12</v>
      </c>
      <c r="M14" s="68">
        <v>13</v>
      </c>
      <c r="N14" s="68">
        <v>14</v>
      </c>
      <c r="O14" s="68">
        <v>15</v>
      </c>
      <c r="P14" s="69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15173433</v>
      </c>
      <c r="F15" s="9">
        <f t="shared" ref="F15:O15" si="0">F16</f>
        <v>15173433</v>
      </c>
      <c r="G15" s="9">
        <f t="shared" si="0"/>
        <v>8983445</v>
      </c>
      <c r="H15" s="9">
        <f t="shared" si="0"/>
        <v>1691990</v>
      </c>
      <c r="I15" s="9">
        <f t="shared" si="0"/>
        <v>0</v>
      </c>
      <c r="J15" s="9">
        <f>J16</f>
        <v>1743735</v>
      </c>
      <c r="K15" s="9">
        <f t="shared" si="0"/>
        <v>1561935</v>
      </c>
      <c r="L15" s="9">
        <f t="shared" si="0"/>
        <v>181800</v>
      </c>
      <c r="M15" s="9">
        <f t="shared" si="0"/>
        <v>0</v>
      </c>
      <c r="N15" s="9">
        <f t="shared" si="0"/>
        <v>0</v>
      </c>
      <c r="O15" s="9">
        <f t="shared" si="0"/>
        <v>1561935</v>
      </c>
      <c r="P15" s="9">
        <f>P16</f>
        <v>16917168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15173433</v>
      </c>
      <c r="F16" s="9">
        <f>F17+F20+F21+F22+F23+F25+F27+F28+F30+F31+F34+F35+F37+F38+F39+F40+F41+F42+F44+F45+F46+F47+F18+F43+F19+F52+F51+F53</f>
        <v>15173433</v>
      </c>
      <c r="G16" s="9">
        <f t="shared" ref="G16:N16" si="1">G17+G20+G21+G22+G23+G25+G27+G28+G30+G31+G34+G35+G37+G38+G39+G40+G41+G42+G44+G45+G46+G47+G18+G43+G19+G52</f>
        <v>8983445</v>
      </c>
      <c r="H16" s="9">
        <f t="shared" si="1"/>
        <v>1691990</v>
      </c>
      <c r="I16" s="9">
        <f t="shared" si="1"/>
        <v>0</v>
      </c>
      <c r="J16" s="9">
        <f>L16+O16</f>
        <v>1743735</v>
      </c>
      <c r="K16" s="9">
        <f>K17+K20+K21+K22+K23+K25+K27+K28+K30+K31+K34+K35+K37+K38+K39+K40+K41+K42+K44+K45+K46+K47+K18+K43+K19+K52+K49+K50+K51</f>
        <v>1561935</v>
      </c>
      <c r="L16" s="9">
        <f>L17+L20+L21+L22+L23+L25+L27+L28+L30+L31+L34+L35+L37+L38+L39+L40+L41+L42+L44+L45+L46+L47+L18+L43+L19+L52</f>
        <v>181800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1561935</v>
      </c>
      <c r="P16" s="9">
        <f>E16+J16</f>
        <v>16917168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9676226</v>
      </c>
      <c r="F17" s="48">
        <v>9676226</v>
      </c>
      <c r="G17" s="24">
        <v>7121781</v>
      </c>
      <c r="H17" s="24">
        <v>288697</v>
      </c>
      <c r="I17" s="24">
        <v>0</v>
      </c>
      <c r="J17" s="23">
        <f>L17+O17</f>
        <v>600000</v>
      </c>
      <c r="K17" s="24">
        <v>600000</v>
      </c>
      <c r="L17" s="24"/>
      <c r="M17" s="24">
        <v>0</v>
      </c>
      <c r="N17" s="24">
        <v>0</v>
      </c>
      <c r="O17" s="24">
        <v>600000</v>
      </c>
      <c r="P17" s="23">
        <f>E17+J17</f>
        <v>10276226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100000</v>
      </c>
      <c r="F18" s="48">
        <v>100000</v>
      </c>
      <c r="G18" s="24"/>
      <c r="H18" s="24"/>
      <c r="I18" s="24"/>
      <c r="J18" s="23">
        <f t="shared" ref="J18:J78" si="2">L18+O18</f>
        <v>0</v>
      </c>
      <c r="K18" s="24"/>
      <c r="L18" s="24"/>
      <c r="M18" s="24"/>
      <c r="N18" s="24"/>
      <c r="O18" s="24"/>
      <c r="P18" s="23">
        <f>E18+J18</f>
        <v>100000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60000</v>
      </c>
      <c r="F19" s="48">
        <v>60000</v>
      </c>
      <c r="G19" s="24"/>
      <c r="H19" s="24"/>
      <c r="I19" s="24"/>
      <c r="J19" s="23">
        <f t="shared" si="2"/>
        <v>0</v>
      </c>
      <c r="K19" s="24"/>
      <c r="L19" s="24"/>
      <c r="M19" s="24"/>
      <c r="N19" s="24"/>
      <c r="O19" s="24"/>
      <c r="P19" s="23">
        <f>E19+J19</f>
        <v>60000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2160830</v>
      </c>
      <c r="F20" s="39">
        <v>2160830</v>
      </c>
      <c r="G20" s="24">
        <v>1601664</v>
      </c>
      <c r="H20" s="24">
        <v>75916</v>
      </c>
      <c r="I20" s="24"/>
      <c r="J20" s="23">
        <f t="shared" si="2"/>
        <v>0</v>
      </c>
      <c r="K20" s="24"/>
      <c r="L20" s="24"/>
      <c r="M20" s="24"/>
      <c r="N20" s="24"/>
      <c r="O20" s="24"/>
      <c r="P20" s="23">
        <f t="shared" ref="P20:P53" si="3">E20+J20</f>
        <v>2160830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53" si="4">F22+I22</f>
        <v>317000</v>
      </c>
      <c r="F22" s="39">
        <v>317000</v>
      </c>
      <c r="G22" s="24">
        <v>260000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317000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320000</v>
      </c>
      <c r="F38" s="39">
        <v>320000</v>
      </c>
      <c r="G38" s="24">
        <v>0</v>
      </c>
      <c r="H38" s="24">
        <v>0</v>
      </c>
      <c r="I38" s="24">
        <v>0</v>
      </c>
      <c r="J38" s="23">
        <f t="shared" si="2"/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3">
        <f t="shared" si="3"/>
        <v>320000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2327377</v>
      </c>
      <c r="F39" s="39">
        <v>2327377</v>
      </c>
      <c r="G39" s="24">
        <v>0</v>
      </c>
      <c r="H39" s="24">
        <v>1327377</v>
      </c>
      <c r="I39" s="24">
        <v>0</v>
      </c>
      <c r="J39" s="23">
        <f t="shared" si="2"/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3">
        <f t="shared" si="3"/>
        <v>2327377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200000</v>
      </c>
      <c r="F40" s="39">
        <v>200000</v>
      </c>
      <c r="G40" s="24">
        <v>0</v>
      </c>
      <c r="H40" s="24">
        <v>0</v>
      </c>
      <c r="I40" s="24">
        <v>0</v>
      </c>
      <c r="J40" s="23">
        <f>K40+L40+O40</f>
        <v>0</v>
      </c>
      <c r="K40" s="24"/>
      <c r="L40" s="24">
        <v>0</v>
      </c>
      <c r="M40" s="24">
        <v>0</v>
      </c>
      <c r="N40" s="24">
        <v>0</v>
      </c>
      <c r="O40" s="24">
        <v>0</v>
      </c>
      <c r="P40" s="23">
        <f t="shared" si="3"/>
        <v>200000</v>
      </c>
    </row>
    <row r="41" spans="1:16" ht="27" hidden="1" customHeight="1" x14ac:dyDescent="0.25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0</v>
      </c>
      <c r="F43" s="39">
        <v>0</v>
      </c>
      <c r="G43" s="24"/>
      <c r="H43" s="24"/>
      <c r="I43" s="24"/>
      <c r="J43" s="23">
        <f t="shared" si="2"/>
        <v>0</v>
      </c>
      <c r="K43" s="24"/>
      <c r="L43" s="24"/>
      <c r="M43" s="24"/>
      <c r="N43" s="24"/>
      <c r="O43" s="24"/>
      <c r="P43" s="23">
        <f t="shared" si="3"/>
        <v>0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si="2"/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12000</v>
      </c>
      <c r="F45" s="39">
        <v>12000</v>
      </c>
      <c r="G45" s="24">
        <v>0</v>
      </c>
      <c r="H45" s="24">
        <v>0</v>
      </c>
      <c r="I45" s="24">
        <v>0</v>
      </c>
      <c r="J45" s="23">
        <f t="shared" si="2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12000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4"/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2"/>
        <v>49000</v>
      </c>
      <c r="K46" s="24">
        <v>0</v>
      </c>
      <c r="L46" s="24">
        <v>49000</v>
      </c>
      <c r="M46" s="24">
        <v>0</v>
      </c>
      <c r="N46" s="24">
        <v>0</v>
      </c>
      <c r="O46" s="24">
        <v>0</v>
      </c>
      <c r="P46" s="23">
        <f t="shared" si="3"/>
        <v>49000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4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2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4"/>
        <v>0</v>
      </c>
      <c r="F48" s="39"/>
      <c r="G48" s="24"/>
      <c r="H48" s="24"/>
      <c r="I48" s="24"/>
      <c r="J48" s="23">
        <f t="shared" si="2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4"/>
        <v>0</v>
      </c>
      <c r="F49" s="39"/>
      <c r="G49" s="24"/>
      <c r="H49" s="24"/>
      <c r="I49" s="24"/>
      <c r="J49" s="23">
        <f t="shared" si="2"/>
        <v>600000</v>
      </c>
      <c r="K49" s="24">
        <v>600000</v>
      </c>
      <c r="L49" s="24"/>
      <c r="M49" s="24"/>
      <c r="N49" s="24"/>
      <c r="O49" s="24">
        <v>600000</v>
      </c>
      <c r="P49" s="23">
        <f t="shared" si="3"/>
        <v>600000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4"/>
        <v>0</v>
      </c>
      <c r="F50" s="39"/>
      <c r="G50" s="24"/>
      <c r="H50" s="24"/>
      <c r="I50" s="24"/>
      <c r="J50" s="23">
        <f t="shared" si="2"/>
        <v>0</v>
      </c>
      <c r="K50" s="24">
        <v>0</v>
      </c>
      <c r="L50" s="24"/>
      <c r="M50" s="24"/>
      <c r="N50" s="24"/>
      <c r="O50" s="24">
        <v>0</v>
      </c>
      <c r="P50" s="23">
        <f t="shared" si="3"/>
        <v>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>
        <f t="shared" si="4"/>
        <v>0</v>
      </c>
      <c r="F51" s="39"/>
      <c r="G51" s="24"/>
      <c r="H51" s="24"/>
      <c r="I51" s="24"/>
      <c r="J51" s="23">
        <f t="shared" si="2"/>
        <v>0</v>
      </c>
      <c r="K51" s="24"/>
      <c r="L51" s="24"/>
      <c r="M51" s="24"/>
      <c r="N51" s="24"/>
      <c r="O51" s="24">
        <v>0</v>
      </c>
      <c r="P51" s="23">
        <f t="shared" si="3"/>
        <v>0</v>
      </c>
    </row>
    <row r="52" spans="1:18" ht="49.5" customHeight="1" x14ac:dyDescent="0.25">
      <c r="A52" s="55" t="s">
        <v>194</v>
      </c>
      <c r="B52" s="34">
        <v>7390</v>
      </c>
      <c r="C52" s="41" t="s">
        <v>195</v>
      </c>
      <c r="D52" s="37" t="s">
        <v>196</v>
      </c>
      <c r="E52" s="23">
        <f t="shared" si="4"/>
        <v>0</v>
      </c>
      <c r="F52" s="39">
        <v>0</v>
      </c>
      <c r="G52" s="24"/>
      <c r="H52" s="24"/>
      <c r="I52" s="24"/>
      <c r="J52" s="23">
        <f t="shared" si="2"/>
        <v>361935</v>
      </c>
      <c r="K52" s="24">
        <v>361935</v>
      </c>
      <c r="L52" s="24"/>
      <c r="M52" s="24"/>
      <c r="N52" s="24"/>
      <c r="O52" s="24">
        <v>361935</v>
      </c>
      <c r="P52" s="23">
        <f t="shared" si="3"/>
        <v>361935</v>
      </c>
    </row>
    <row r="53" spans="1:18" ht="49.5" customHeight="1" x14ac:dyDescent="0.25">
      <c r="A53" s="49" t="s">
        <v>202</v>
      </c>
      <c r="B53" s="34">
        <v>7540</v>
      </c>
      <c r="C53" s="62" t="s">
        <v>203</v>
      </c>
      <c r="D53" s="63" t="s">
        <v>204</v>
      </c>
      <c r="E53" s="23">
        <f t="shared" si="4"/>
        <v>0</v>
      </c>
      <c r="F53" s="39">
        <v>0</v>
      </c>
      <c r="G53" s="24"/>
      <c r="H53" s="24"/>
      <c r="I53" s="24"/>
      <c r="J53" s="23">
        <f t="shared" si="2"/>
        <v>0</v>
      </c>
      <c r="K53" s="24"/>
      <c r="L53" s="24"/>
      <c r="M53" s="24"/>
      <c r="N53" s="24"/>
      <c r="O53" s="24"/>
      <c r="P53" s="23">
        <f t="shared" si="3"/>
        <v>0</v>
      </c>
    </row>
    <row r="54" spans="1:18" ht="29.25" customHeight="1" x14ac:dyDescent="0.25">
      <c r="A54" s="56" t="s">
        <v>95</v>
      </c>
      <c r="B54" s="6"/>
      <c r="C54" s="7"/>
      <c r="D54" s="8" t="s">
        <v>135</v>
      </c>
      <c r="E54" s="9">
        <f>E55</f>
        <v>41506094</v>
      </c>
      <c r="F54" s="43">
        <f t="shared" ref="F54:O54" si="5">F55</f>
        <v>41506094</v>
      </c>
      <c r="G54" s="9">
        <f t="shared" si="5"/>
        <v>28362311</v>
      </c>
      <c r="H54" s="9">
        <f t="shared" si="5"/>
        <v>4835277</v>
      </c>
      <c r="I54" s="9">
        <f t="shared" si="5"/>
        <v>0</v>
      </c>
      <c r="J54" s="23">
        <f t="shared" si="2"/>
        <v>3373315</v>
      </c>
      <c r="K54" s="9">
        <f t="shared" si="5"/>
        <v>2800000</v>
      </c>
      <c r="L54" s="9">
        <f t="shared" si="5"/>
        <v>573315</v>
      </c>
      <c r="M54" s="9">
        <f t="shared" si="5"/>
        <v>0</v>
      </c>
      <c r="N54" s="9">
        <f t="shared" si="5"/>
        <v>0</v>
      </c>
      <c r="O54" s="9">
        <f t="shared" si="5"/>
        <v>2800000</v>
      </c>
      <c r="P54" s="9">
        <f>E54+J54</f>
        <v>44879409</v>
      </c>
    </row>
    <row r="55" spans="1:18" ht="29.25" customHeight="1" x14ac:dyDescent="0.25">
      <c r="A55" s="56" t="s">
        <v>96</v>
      </c>
      <c r="B55" s="6"/>
      <c r="C55" s="7"/>
      <c r="D55" s="8" t="s">
        <v>135</v>
      </c>
      <c r="E55" s="9">
        <f>E57+E58+E69+E70+E71+E74+E75+E68+E66+E67+E79+E64+E76+E77+E65+E63+E72+E73+E56</f>
        <v>41506094</v>
      </c>
      <c r="F55" s="9">
        <f>F57+F58+F69+F70+F71+F74+F75+F68+F66+F67+F79+F64+F76+F77+F65+F63+F72+F56</f>
        <v>41506094</v>
      </c>
      <c r="G55" s="9">
        <f>G57+G58+G69+G70+G71+G74+G75+G68+G66+G67+G79+G64+G76+G77+G65+G63+G72+G56</f>
        <v>28362311</v>
      </c>
      <c r="H55" s="9">
        <f>H57+H58+H69+H70+H71+H74+H75+H68+H66+H67+H79+H64+H76+H77+H65+H63+H72+H56</f>
        <v>4835277</v>
      </c>
      <c r="I55" s="9">
        <f>I57+I58+I69+I70+I71+I74+I75+I68+I66+I67+I79+I64+I76+I77+I73+I56</f>
        <v>0</v>
      </c>
      <c r="J55" s="9">
        <f>J57+J58+J69+J70+J71+J74+J75+J68+J66+J67+J79+J64+J76+J77+J65+J63+J56+J78</f>
        <v>3373315</v>
      </c>
      <c r="K55" s="9">
        <f>K57+K58+K69+K70+K71+K74+K75+K68+K66+K67+K79+K64+K76+K77+K65+K63+K56+K78</f>
        <v>2800000</v>
      </c>
      <c r="L55" s="9">
        <f t="shared" ref="L55:O55" si="6">L57+L58+L69+L70+L71+L74+L75+L68+L66+L67+L79+L64+L76+L77+L65+L63+L56+L78</f>
        <v>573315</v>
      </c>
      <c r="M55" s="9">
        <f t="shared" si="6"/>
        <v>0</v>
      </c>
      <c r="N55" s="9">
        <f t="shared" si="6"/>
        <v>0</v>
      </c>
      <c r="O55" s="9">
        <f t="shared" si="6"/>
        <v>2800000</v>
      </c>
      <c r="P55" s="9">
        <f>E55+J55</f>
        <v>44879409</v>
      </c>
      <c r="R55" s="18"/>
    </row>
    <row r="56" spans="1:18" ht="0.75" customHeight="1" x14ac:dyDescent="0.25">
      <c r="A56" s="57" t="s">
        <v>210</v>
      </c>
      <c r="B56" s="46" t="s">
        <v>27</v>
      </c>
      <c r="C56" s="46" t="s">
        <v>23</v>
      </c>
      <c r="D56" s="22" t="s">
        <v>120</v>
      </c>
      <c r="E56" s="23">
        <f>F56+I56</f>
        <v>0</v>
      </c>
      <c r="F56" s="23"/>
      <c r="G56" s="23"/>
      <c r="H56" s="23"/>
      <c r="I56" s="23"/>
      <c r="J56" s="23">
        <f t="shared" si="2"/>
        <v>0</v>
      </c>
      <c r="K56" s="9"/>
      <c r="L56" s="9"/>
      <c r="M56" s="9"/>
      <c r="N56" s="9"/>
      <c r="O56" s="9"/>
      <c r="P56" s="23">
        <f>E56+J56</f>
        <v>0</v>
      </c>
      <c r="R56" s="18"/>
    </row>
    <row r="57" spans="1:18" x14ac:dyDescent="0.25">
      <c r="A57" s="51" t="s">
        <v>97</v>
      </c>
      <c r="B57" s="20" t="s">
        <v>42</v>
      </c>
      <c r="C57" s="21" t="s">
        <v>98</v>
      </c>
      <c r="D57" s="22" t="s">
        <v>99</v>
      </c>
      <c r="E57" s="23">
        <f>F57+I57</f>
        <v>5989941</v>
      </c>
      <c r="F57" s="39">
        <v>5989941</v>
      </c>
      <c r="G57" s="24">
        <v>3998198</v>
      </c>
      <c r="H57" s="24">
        <v>628747</v>
      </c>
      <c r="I57" s="24">
        <v>0</v>
      </c>
      <c r="J57" s="23">
        <f t="shared" si="2"/>
        <v>220074</v>
      </c>
      <c r="K57" s="24">
        <v>0</v>
      </c>
      <c r="L57" s="24">
        <v>220074</v>
      </c>
      <c r="M57" s="24">
        <v>0</v>
      </c>
      <c r="N57" s="24">
        <v>0</v>
      </c>
      <c r="O57" s="24">
        <v>0</v>
      </c>
      <c r="P57" s="23">
        <f>E57+J57</f>
        <v>6210015</v>
      </c>
    </row>
    <row r="58" spans="1:18" ht="30.75" customHeight="1" x14ac:dyDescent="0.25">
      <c r="A58" s="57" t="s">
        <v>100</v>
      </c>
      <c r="B58" s="20">
        <v>1021</v>
      </c>
      <c r="C58" s="21" t="s">
        <v>101</v>
      </c>
      <c r="D58" s="22" t="s">
        <v>102</v>
      </c>
      <c r="E58" s="23">
        <f>F58+I58</f>
        <v>12399530</v>
      </c>
      <c r="F58" s="39">
        <v>12399530</v>
      </c>
      <c r="G58" s="24">
        <v>5725815</v>
      </c>
      <c r="H58" s="24">
        <v>4123436</v>
      </c>
      <c r="I58" s="24">
        <v>0</v>
      </c>
      <c r="J58" s="23">
        <f>L58+O58</f>
        <v>1053241</v>
      </c>
      <c r="K58" s="24">
        <v>700000</v>
      </c>
      <c r="L58" s="24">
        <v>353241</v>
      </c>
      <c r="M58" s="24">
        <f t="shared" ref="M58:N58" si="7">M60+M61+M62</f>
        <v>0</v>
      </c>
      <c r="N58" s="24">
        <f t="shared" si="7"/>
        <v>0</v>
      </c>
      <c r="O58" s="24">
        <v>700000</v>
      </c>
      <c r="P58" s="23">
        <f>E58+J58</f>
        <v>13452771</v>
      </c>
      <c r="R58" s="18"/>
    </row>
    <row r="59" spans="1:18" ht="30.75" customHeight="1" x14ac:dyDescent="0.25">
      <c r="A59" s="58"/>
      <c r="B59" s="10"/>
      <c r="C59" s="11"/>
      <c r="D59" s="70" t="s">
        <v>219</v>
      </c>
      <c r="E59" s="23">
        <f t="shared" ref="E59:E102" si="8">F59+I59</f>
        <v>11849130</v>
      </c>
      <c r="F59" s="42">
        <v>11849130</v>
      </c>
      <c r="G59" s="13"/>
      <c r="H59" s="13">
        <v>121300</v>
      </c>
      <c r="I59" s="13"/>
      <c r="J59" s="23">
        <f t="shared" si="2"/>
        <v>0</v>
      </c>
      <c r="K59" s="13"/>
      <c r="L59" s="13"/>
      <c r="M59" s="13"/>
      <c r="N59" s="13"/>
      <c r="O59" s="13"/>
      <c r="P59" s="23">
        <f t="shared" ref="P59:P79" si="9">E59+J59</f>
        <v>11849130</v>
      </c>
      <c r="R59" s="18"/>
    </row>
    <row r="60" spans="1:18" ht="66.75" customHeight="1" x14ac:dyDescent="0.25">
      <c r="A60" s="52"/>
      <c r="B60" s="10"/>
      <c r="C60" s="11"/>
      <c r="D60" s="12" t="s">
        <v>103</v>
      </c>
      <c r="E60" s="23">
        <f t="shared" si="8"/>
        <v>242600</v>
      </c>
      <c r="F60" s="42">
        <v>242600</v>
      </c>
      <c r="G60" s="13"/>
      <c r="H60" s="13"/>
      <c r="I60" s="13"/>
      <c r="J60" s="23">
        <f t="shared" si="2"/>
        <v>0</v>
      </c>
      <c r="K60" s="13"/>
      <c r="L60" s="13"/>
      <c r="M60" s="13"/>
      <c r="N60" s="13"/>
      <c r="O60" s="13"/>
      <c r="P60" s="23">
        <f t="shared" si="9"/>
        <v>242600</v>
      </c>
    </row>
    <row r="61" spans="1:18" ht="136.5" customHeight="1" x14ac:dyDescent="0.25">
      <c r="A61" s="52"/>
      <c r="B61" s="10"/>
      <c r="C61" s="11"/>
      <c r="D61" s="12" t="s">
        <v>220</v>
      </c>
      <c r="E61" s="23">
        <f t="shared" si="8"/>
        <v>307800</v>
      </c>
      <c r="F61" s="42">
        <v>307800</v>
      </c>
      <c r="G61" s="13"/>
      <c r="H61" s="13"/>
      <c r="I61" s="13"/>
      <c r="J61" s="23">
        <f t="shared" si="2"/>
        <v>0</v>
      </c>
      <c r="K61" s="13"/>
      <c r="L61" s="13"/>
      <c r="M61" s="13"/>
      <c r="N61" s="13"/>
      <c r="O61" s="13"/>
      <c r="P61" s="23">
        <f t="shared" si="9"/>
        <v>307800</v>
      </c>
    </row>
    <row r="62" spans="1:18" ht="17.25" hidden="1" customHeight="1" x14ac:dyDescent="0.25">
      <c r="A62" s="52"/>
      <c r="B62" s="10"/>
      <c r="C62" s="11"/>
      <c r="D62" s="12"/>
      <c r="E62" s="23">
        <f t="shared" si="8"/>
        <v>0</v>
      </c>
      <c r="F62" s="42">
        <f>13000+19259+13500+15000+8000-68759</f>
        <v>0</v>
      </c>
      <c r="G62" s="13"/>
      <c r="H62" s="13"/>
      <c r="I62" s="13"/>
      <c r="J62" s="23">
        <f t="shared" si="2"/>
        <v>0</v>
      </c>
      <c r="K62" s="13">
        <f>54000+45000-99000</f>
        <v>0</v>
      </c>
      <c r="L62" s="13"/>
      <c r="M62" s="13"/>
      <c r="N62" s="13"/>
      <c r="O62" s="13">
        <f>54000+45000-99000</f>
        <v>0</v>
      </c>
      <c r="P62" s="23">
        <f t="shared" si="9"/>
        <v>0</v>
      </c>
    </row>
    <row r="63" spans="1:18" ht="56.25" hidden="1" customHeight="1" x14ac:dyDescent="0.25">
      <c r="A63" s="64" t="s">
        <v>205</v>
      </c>
      <c r="B63" s="10">
        <v>1061</v>
      </c>
      <c r="C63" s="61" t="s">
        <v>101</v>
      </c>
      <c r="D63" s="22" t="s">
        <v>102</v>
      </c>
      <c r="E63" s="23">
        <f t="shared" si="8"/>
        <v>0</v>
      </c>
      <c r="F63" s="42"/>
      <c r="G63" s="13"/>
      <c r="H63" s="13"/>
      <c r="I63" s="13"/>
      <c r="J63" s="23">
        <f t="shared" si="2"/>
        <v>0</v>
      </c>
      <c r="K63" s="13">
        <v>0</v>
      </c>
      <c r="L63" s="13"/>
      <c r="M63" s="13"/>
      <c r="N63" s="13"/>
      <c r="O63" s="13"/>
      <c r="P63" s="23">
        <f>E63+J63</f>
        <v>0</v>
      </c>
    </row>
    <row r="64" spans="1:18" ht="62.25" hidden="1" customHeight="1" x14ac:dyDescent="0.25">
      <c r="A64" s="57" t="s">
        <v>199</v>
      </c>
      <c r="B64" s="20">
        <v>1181</v>
      </c>
      <c r="C64" s="25" t="s">
        <v>106</v>
      </c>
      <c r="D64" s="22" t="s">
        <v>200</v>
      </c>
      <c r="E64" s="23">
        <f t="shared" si="8"/>
        <v>0</v>
      </c>
      <c r="F64" s="42">
        <f>17207+11560-28767</f>
        <v>0</v>
      </c>
      <c r="G64" s="13"/>
      <c r="H64" s="13"/>
      <c r="I64" s="13"/>
      <c r="J64" s="23">
        <f t="shared" si="2"/>
        <v>0</v>
      </c>
      <c r="K64" s="13">
        <v>0</v>
      </c>
      <c r="L64" s="13"/>
      <c r="M64" s="13"/>
      <c r="N64" s="13"/>
      <c r="O64" s="13">
        <v>0</v>
      </c>
      <c r="P64" s="23">
        <f t="shared" si="9"/>
        <v>0</v>
      </c>
    </row>
    <row r="65" spans="1:16" ht="62.25" hidden="1" customHeight="1" x14ac:dyDescent="0.25">
      <c r="A65" s="57" t="s">
        <v>213</v>
      </c>
      <c r="B65" s="20">
        <v>1182</v>
      </c>
      <c r="C65" s="25" t="s">
        <v>106</v>
      </c>
      <c r="D65" s="22" t="s">
        <v>201</v>
      </c>
      <c r="E65" s="23">
        <f t="shared" si="8"/>
        <v>0</v>
      </c>
      <c r="F65" s="42">
        <v>0</v>
      </c>
      <c r="G65" s="13"/>
      <c r="H65" s="13"/>
      <c r="I65" s="13"/>
      <c r="J65" s="23">
        <f t="shared" si="2"/>
        <v>0</v>
      </c>
      <c r="K65" s="13">
        <v>0</v>
      </c>
      <c r="L65" s="13"/>
      <c r="M65" s="13"/>
      <c r="N65" s="13"/>
      <c r="O65" s="13">
        <v>0</v>
      </c>
      <c r="P65" s="23">
        <f t="shared" si="9"/>
        <v>0</v>
      </c>
    </row>
    <row r="66" spans="1:16" ht="56.25" hidden="1" customHeight="1" x14ac:dyDescent="0.25">
      <c r="A66" s="57" t="s">
        <v>154</v>
      </c>
      <c r="B66" s="20">
        <v>1200</v>
      </c>
      <c r="C66" s="25" t="s">
        <v>106</v>
      </c>
      <c r="D66" s="22" t="s">
        <v>155</v>
      </c>
      <c r="E66" s="23">
        <f t="shared" si="8"/>
        <v>0</v>
      </c>
      <c r="F66" s="42">
        <v>0</v>
      </c>
      <c r="G66" s="13"/>
      <c r="H66" s="13"/>
      <c r="I66" s="13"/>
      <c r="J66" s="23">
        <f t="shared" si="2"/>
        <v>0</v>
      </c>
      <c r="K66" s="13">
        <v>0</v>
      </c>
      <c r="L66" s="13"/>
      <c r="M66" s="13"/>
      <c r="N66" s="13"/>
      <c r="O66" s="13">
        <v>0</v>
      </c>
      <c r="P66" s="23">
        <f t="shared" si="9"/>
        <v>0</v>
      </c>
    </row>
    <row r="67" spans="1:16" ht="0.75" customHeight="1" x14ac:dyDescent="0.25">
      <c r="A67" s="53" t="s">
        <v>174</v>
      </c>
      <c r="B67" s="20">
        <v>1210</v>
      </c>
      <c r="C67" s="46" t="s">
        <v>106</v>
      </c>
      <c r="D67" s="22" t="s">
        <v>173</v>
      </c>
      <c r="E67" s="23">
        <f t="shared" si="8"/>
        <v>0</v>
      </c>
      <c r="F67" s="42">
        <v>0</v>
      </c>
      <c r="G67" s="13"/>
      <c r="H67" s="13"/>
      <c r="I67" s="13"/>
      <c r="J67" s="23">
        <f t="shared" si="2"/>
        <v>0</v>
      </c>
      <c r="K67" s="13">
        <v>0</v>
      </c>
      <c r="L67" s="13"/>
      <c r="M67" s="13"/>
      <c r="N67" s="13"/>
      <c r="O67" s="13">
        <v>0</v>
      </c>
      <c r="P67" s="23">
        <f t="shared" si="9"/>
        <v>0</v>
      </c>
    </row>
    <row r="68" spans="1:16" ht="27.75" customHeight="1" x14ac:dyDescent="0.25">
      <c r="A68" s="57" t="s">
        <v>104</v>
      </c>
      <c r="B68" s="20">
        <v>1031</v>
      </c>
      <c r="C68" s="21" t="s">
        <v>101</v>
      </c>
      <c r="D68" s="22" t="s">
        <v>138</v>
      </c>
      <c r="E68" s="23">
        <f t="shared" si="8"/>
        <v>19929500</v>
      </c>
      <c r="F68" s="39">
        <v>19929500</v>
      </c>
      <c r="G68" s="24">
        <v>16330000</v>
      </c>
      <c r="H68" s="24"/>
      <c r="I68" s="24"/>
      <c r="J68" s="23">
        <f t="shared" si="2"/>
        <v>0</v>
      </c>
      <c r="K68" s="24"/>
      <c r="L68" s="24"/>
      <c r="M68" s="24"/>
      <c r="N68" s="24"/>
      <c r="O68" s="24"/>
      <c r="P68" s="23">
        <f t="shared" si="9"/>
        <v>19929500</v>
      </c>
    </row>
    <row r="69" spans="1:16" ht="46.5" hidden="1" customHeight="1" x14ac:dyDescent="0.25">
      <c r="A69" s="51"/>
      <c r="B69" s="20"/>
      <c r="C69" s="21"/>
      <c r="D69" s="22"/>
      <c r="E69" s="23">
        <f t="shared" si="8"/>
        <v>0</v>
      </c>
      <c r="F69" s="39"/>
      <c r="G69" s="24"/>
      <c r="H69" s="24"/>
      <c r="I69" s="24">
        <v>0</v>
      </c>
      <c r="J69" s="23">
        <f t="shared" si="2"/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3">
        <f t="shared" si="9"/>
        <v>0</v>
      </c>
    </row>
    <row r="70" spans="1:16" hidden="1" x14ac:dyDescent="0.25">
      <c r="A70" s="51"/>
      <c r="B70" s="20"/>
      <c r="C70" s="21"/>
      <c r="D70" s="22"/>
      <c r="E70" s="23">
        <f t="shared" si="8"/>
        <v>0</v>
      </c>
      <c r="F70" s="39"/>
      <c r="G70" s="24"/>
      <c r="H70" s="24"/>
      <c r="I70" s="24">
        <v>0</v>
      </c>
      <c r="J70" s="23">
        <f t="shared" si="2"/>
        <v>0</v>
      </c>
      <c r="K70" s="24">
        <v>0</v>
      </c>
      <c r="L70" s="24"/>
      <c r="M70" s="24">
        <v>0</v>
      </c>
      <c r="N70" s="24">
        <v>0</v>
      </c>
      <c r="O70" s="24">
        <v>0</v>
      </c>
      <c r="P70" s="23">
        <f t="shared" si="9"/>
        <v>0</v>
      </c>
    </row>
    <row r="71" spans="1:16" ht="25.5" x14ac:dyDescent="0.25">
      <c r="A71" s="51" t="s">
        <v>105</v>
      </c>
      <c r="B71" s="20">
        <v>1141</v>
      </c>
      <c r="C71" s="21" t="s">
        <v>106</v>
      </c>
      <c r="D71" s="22" t="s">
        <v>107</v>
      </c>
      <c r="E71" s="23">
        <f t="shared" si="8"/>
        <v>1174440</v>
      </c>
      <c r="F71" s="39">
        <v>1174440</v>
      </c>
      <c r="G71" s="24">
        <v>892000</v>
      </c>
      <c r="H71" s="24">
        <v>6300</v>
      </c>
      <c r="I71" s="24">
        <v>0</v>
      </c>
      <c r="J71" s="23">
        <f t="shared" si="2"/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3">
        <f t="shared" si="9"/>
        <v>1174440</v>
      </c>
    </row>
    <row r="72" spans="1:16" x14ac:dyDescent="0.25">
      <c r="A72" s="57" t="s">
        <v>206</v>
      </c>
      <c r="B72" s="25" t="s">
        <v>207</v>
      </c>
      <c r="C72" s="25" t="s">
        <v>106</v>
      </c>
      <c r="D72" s="22" t="s">
        <v>208</v>
      </c>
      <c r="E72" s="23">
        <f t="shared" si="8"/>
        <v>5430</v>
      </c>
      <c r="F72" s="39">
        <v>5430</v>
      </c>
      <c r="G72" s="24"/>
      <c r="H72" s="24"/>
      <c r="I72" s="24"/>
      <c r="J72" s="23">
        <f t="shared" si="2"/>
        <v>0</v>
      </c>
      <c r="K72" s="24"/>
      <c r="L72" s="24"/>
      <c r="M72" s="24"/>
      <c r="N72" s="24"/>
      <c r="O72" s="24"/>
      <c r="P72" s="23">
        <f t="shared" si="9"/>
        <v>5430</v>
      </c>
    </row>
    <row r="73" spans="1:16" hidden="1" x14ac:dyDescent="0.25">
      <c r="A73" s="57" t="s">
        <v>209</v>
      </c>
      <c r="B73" s="20" t="s">
        <v>127</v>
      </c>
      <c r="C73" s="21" t="s">
        <v>25</v>
      </c>
      <c r="D73" s="22" t="s">
        <v>128</v>
      </c>
      <c r="E73" s="23">
        <f t="shared" si="8"/>
        <v>0</v>
      </c>
      <c r="F73" s="39"/>
      <c r="G73" s="24"/>
      <c r="H73" s="24"/>
      <c r="I73" s="24"/>
      <c r="J73" s="23">
        <f t="shared" si="2"/>
        <v>0</v>
      </c>
      <c r="K73" s="24"/>
      <c r="L73" s="24"/>
      <c r="M73" s="24"/>
      <c r="N73" s="24"/>
      <c r="O73" s="24"/>
      <c r="P73" s="23">
        <f t="shared" si="9"/>
        <v>0</v>
      </c>
    </row>
    <row r="74" spans="1:16" ht="21" customHeight="1" x14ac:dyDescent="0.25">
      <c r="A74" s="51" t="s">
        <v>108</v>
      </c>
      <c r="B74" s="20" t="s">
        <v>109</v>
      </c>
      <c r="C74" s="21" t="s">
        <v>110</v>
      </c>
      <c r="D74" s="22" t="s">
        <v>111</v>
      </c>
      <c r="E74" s="23">
        <f t="shared" si="8"/>
        <v>1032116</v>
      </c>
      <c r="F74" s="39">
        <v>1032116</v>
      </c>
      <c r="G74" s="24">
        <v>791191</v>
      </c>
      <c r="H74" s="24">
        <v>20789</v>
      </c>
      <c r="I74" s="24">
        <v>0</v>
      </c>
      <c r="J74" s="23">
        <f t="shared" si="2"/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3">
        <f t="shared" si="9"/>
        <v>1032116</v>
      </c>
    </row>
    <row r="75" spans="1:16" ht="41.25" customHeight="1" x14ac:dyDescent="0.25">
      <c r="A75" s="51" t="s">
        <v>112</v>
      </c>
      <c r="B75" s="20" t="s">
        <v>113</v>
      </c>
      <c r="C75" s="21" t="s">
        <v>114</v>
      </c>
      <c r="D75" s="22" t="s">
        <v>115</v>
      </c>
      <c r="E75" s="23">
        <f t="shared" si="8"/>
        <v>975137</v>
      </c>
      <c r="F75" s="39">
        <v>975137</v>
      </c>
      <c r="G75" s="24">
        <v>625107</v>
      </c>
      <c r="H75" s="24">
        <v>56005</v>
      </c>
      <c r="I75" s="24">
        <v>0</v>
      </c>
      <c r="J75" s="23">
        <f t="shared" si="2"/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3">
        <f t="shared" si="9"/>
        <v>975137</v>
      </c>
    </row>
    <row r="76" spans="1:16" ht="41.25" customHeight="1" x14ac:dyDescent="0.25">
      <c r="A76" s="57" t="s">
        <v>198</v>
      </c>
      <c r="B76" s="20">
        <v>7321</v>
      </c>
      <c r="C76" s="25" t="s">
        <v>74</v>
      </c>
      <c r="D76" s="22" t="s">
        <v>197</v>
      </c>
      <c r="E76" s="23">
        <f t="shared" si="8"/>
        <v>0</v>
      </c>
      <c r="F76" s="39"/>
      <c r="G76" s="24"/>
      <c r="H76" s="24"/>
      <c r="I76" s="24"/>
      <c r="J76" s="23">
        <f t="shared" si="2"/>
        <v>2100000</v>
      </c>
      <c r="K76" s="24">
        <v>2100000</v>
      </c>
      <c r="L76" s="24"/>
      <c r="M76" s="24"/>
      <c r="N76" s="24"/>
      <c r="O76" s="24">
        <v>2100000</v>
      </c>
      <c r="P76" s="23">
        <f t="shared" si="9"/>
        <v>2100000</v>
      </c>
    </row>
    <row r="77" spans="1:16" ht="41.25" hidden="1" customHeight="1" x14ac:dyDescent="0.25">
      <c r="A77" s="57" t="s">
        <v>182</v>
      </c>
      <c r="B77" s="20">
        <v>7361</v>
      </c>
      <c r="C77" s="25" t="s">
        <v>81</v>
      </c>
      <c r="D77" s="22" t="s">
        <v>183</v>
      </c>
      <c r="E77" s="23">
        <f t="shared" si="8"/>
        <v>0</v>
      </c>
      <c r="F77" s="39"/>
      <c r="G77" s="24"/>
      <c r="H77" s="24"/>
      <c r="I77" s="24"/>
      <c r="J77" s="23">
        <f t="shared" si="2"/>
        <v>0</v>
      </c>
      <c r="K77" s="24"/>
      <c r="L77" s="24"/>
      <c r="M77" s="24"/>
      <c r="N77" s="24"/>
      <c r="O77" s="24">
        <v>0</v>
      </c>
      <c r="P77" s="23">
        <f t="shared" si="9"/>
        <v>0</v>
      </c>
    </row>
    <row r="78" spans="1:16" ht="41.25" hidden="1" customHeight="1" x14ac:dyDescent="0.25">
      <c r="A78" s="57" t="s">
        <v>211</v>
      </c>
      <c r="B78" s="20">
        <v>7363</v>
      </c>
      <c r="C78" s="25" t="s">
        <v>81</v>
      </c>
      <c r="D78" s="65" t="s">
        <v>212</v>
      </c>
      <c r="E78" s="23">
        <f t="shared" si="8"/>
        <v>0</v>
      </c>
      <c r="F78" s="39"/>
      <c r="G78" s="24"/>
      <c r="H78" s="24"/>
      <c r="I78" s="24"/>
      <c r="J78" s="23">
        <f t="shared" si="2"/>
        <v>0</v>
      </c>
      <c r="K78" s="24">
        <v>0</v>
      </c>
      <c r="L78" s="24"/>
      <c r="M78" s="24"/>
      <c r="N78" s="24"/>
      <c r="O78" s="24">
        <v>0</v>
      </c>
      <c r="P78" s="23">
        <f t="shared" si="9"/>
        <v>0</v>
      </c>
    </row>
    <row r="79" spans="1:16" ht="33.75" hidden="1" customHeight="1" x14ac:dyDescent="0.25">
      <c r="A79" s="55" t="s">
        <v>186</v>
      </c>
      <c r="B79" s="34">
        <v>7370</v>
      </c>
      <c r="C79" s="41" t="s">
        <v>81</v>
      </c>
      <c r="D79" s="37" t="s">
        <v>187</v>
      </c>
      <c r="E79" s="23">
        <f t="shared" si="8"/>
        <v>0</v>
      </c>
      <c r="F79" s="39">
        <v>0</v>
      </c>
      <c r="G79" s="24">
        <v>0</v>
      </c>
      <c r="H79" s="24">
        <v>0</v>
      </c>
      <c r="I79" s="24">
        <v>0</v>
      </c>
      <c r="J79" s="23">
        <f>L79+O79</f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3">
        <f t="shared" si="9"/>
        <v>0</v>
      </c>
    </row>
    <row r="80" spans="1:16" ht="24.75" customHeight="1" x14ac:dyDescent="0.25">
      <c r="A80" s="55" t="s">
        <v>156</v>
      </c>
      <c r="B80" s="34"/>
      <c r="C80" s="35"/>
      <c r="D80" s="45" t="s">
        <v>157</v>
      </c>
      <c r="E80" s="23">
        <f>E81</f>
        <v>2597482</v>
      </c>
      <c r="F80" s="23">
        <f t="shared" ref="F80:P80" si="10">F81</f>
        <v>2597482</v>
      </c>
      <c r="G80" s="23">
        <f t="shared" si="10"/>
        <v>407517</v>
      </c>
      <c r="H80" s="23">
        <f t="shared" si="10"/>
        <v>5300</v>
      </c>
      <c r="I80" s="23">
        <f t="shared" si="10"/>
        <v>0</v>
      </c>
      <c r="J80" s="23">
        <f t="shared" si="10"/>
        <v>0</v>
      </c>
      <c r="K80" s="23">
        <f t="shared" si="10"/>
        <v>0</v>
      </c>
      <c r="L80" s="23">
        <f t="shared" si="10"/>
        <v>0</v>
      </c>
      <c r="M80" s="23">
        <f t="shared" si="10"/>
        <v>0</v>
      </c>
      <c r="N80" s="23">
        <f t="shared" si="10"/>
        <v>0</v>
      </c>
      <c r="O80" s="23">
        <f t="shared" si="10"/>
        <v>0</v>
      </c>
      <c r="P80" s="23">
        <f t="shared" si="10"/>
        <v>2597482</v>
      </c>
    </row>
    <row r="81" spans="1:16" ht="26.25" customHeight="1" x14ac:dyDescent="0.25">
      <c r="A81" s="55" t="s">
        <v>158</v>
      </c>
      <c r="B81" s="34"/>
      <c r="C81" s="35"/>
      <c r="D81" s="45" t="s">
        <v>159</v>
      </c>
      <c r="E81" s="23">
        <f>E82+E84+E85+E86+E88+E91+E92+E94+E95+E99+E83+E90</f>
        <v>2597482</v>
      </c>
      <c r="F81" s="23">
        <f>F82+F84+F85+F86+F88+F91+F92+F94+F95+F99++F90+F83</f>
        <v>2597482</v>
      </c>
      <c r="G81" s="23">
        <f>G82+G84+G85+G86+G88+G91+G92+G94+G95+G99+G90</f>
        <v>407517</v>
      </c>
      <c r="H81" s="23">
        <f t="shared" ref="H81:O81" si="11">H82+H84+H85+H86+H88+H91+H92+H94+H95+H99</f>
        <v>5300</v>
      </c>
      <c r="I81" s="23">
        <f t="shared" si="11"/>
        <v>0</v>
      </c>
      <c r="J81" s="23">
        <f>J82+J84+J85+J86+J88+J91+J92+J94+J95+J99+J83</f>
        <v>0</v>
      </c>
      <c r="K81" s="23">
        <f>K82+K83</f>
        <v>0</v>
      </c>
      <c r="L81" s="23">
        <f t="shared" si="11"/>
        <v>0</v>
      </c>
      <c r="M81" s="23">
        <f t="shared" si="11"/>
        <v>0</v>
      </c>
      <c r="N81" s="23">
        <f t="shared" si="11"/>
        <v>0</v>
      </c>
      <c r="O81" s="23">
        <f t="shared" si="11"/>
        <v>0</v>
      </c>
      <c r="P81" s="23">
        <f>P82+P84+P85+P86+P88+P91+P92+P94+P95+P99+P83</f>
        <v>2597482</v>
      </c>
    </row>
    <row r="82" spans="1:16" ht="41.25" customHeight="1" x14ac:dyDescent="0.25">
      <c r="A82" s="55" t="s">
        <v>160</v>
      </c>
      <c r="B82" s="41" t="s">
        <v>27</v>
      </c>
      <c r="C82" s="41" t="s">
        <v>23</v>
      </c>
      <c r="D82" s="37" t="s">
        <v>120</v>
      </c>
      <c r="E82" s="23">
        <f>F82+I82</f>
        <v>527471</v>
      </c>
      <c r="F82" s="39">
        <v>527471</v>
      </c>
      <c r="G82" s="24">
        <v>407517</v>
      </c>
      <c r="H82" s="24">
        <v>5300</v>
      </c>
      <c r="I82" s="24"/>
      <c r="J82" s="23">
        <f>L82+O82</f>
        <v>0</v>
      </c>
      <c r="K82" s="24"/>
      <c r="L82" s="24"/>
      <c r="M82" s="24"/>
      <c r="N82" s="24"/>
      <c r="O82" s="24"/>
      <c r="P82" s="23">
        <f>E82+J82</f>
        <v>527471</v>
      </c>
    </row>
    <row r="83" spans="1:16" ht="50.25" customHeight="1" x14ac:dyDescent="0.25">
      <c r="A83" s="49" t="s">
        <v>175</v>
      </c>
      <c r="B83" s="33" t="s">
        <v>176</v>
      </c>
      <c r="C83" s="33" t="s">
        <v>177</v>
      </c>
      <c r="D83" s="36" t="s">
        <v>178</v>
      </c>
      <c r="E83" s="23">
        <f>F83+I83</f>
        <v>1741071</v>
      </c>
      <c r="F83" s="39">
        <v>1741071</v>
      </c>
      <c r="G83" s="24">
        <v>1365000</v>
      </c>
      <c r="H83" s="24">
        <v>8200</v>
      </c>
      <c r="I83" s="24"/>
      <c r="J83" s="23">
        <f>L83+O83</f>
        <v>0</v>
      </c>
      <c r="K83" s="24"/>
      <c r="L83" s="24"/>
      <c r="M83" s="24"/>
      <c r="N83" s="24"/>
      <c r="O83" s="24"/>
      <c r="P83" s="23">
        <f>E83+J83</f>
        <v>1741071</v>
      </c>
    </row>
    <row r="84" spans="1:16" ht="41.25" customHeight="1" x14ac:dyDescent="0.25">
      <c r="A84" s="49" t="s">
        <v>163</v>
      </c>
      <c r="B84" s="34">
        <v>3032</v>
      </c>
      <c r="C84" s="41">
        <v>1070</v>
      </c>
      <c r="D84" s="36" t="s">
        <v>146</v>
      </c>
      <c r="E84" s="23">
        <f>F84+I84</f>
        <v>0</v>
      </c>
      <c r="F84" s="39">
        <v>0</v>
      </c>
      <c r="G84" s="24"/>
      <c r="H84" s="24"/>
      <c r="I84" s="24"/>
      <c r="J84" s="23">
        <f t="shared" ref="J84:J110" si="12">L84+O84</f>
        <v>0</v>
      </c>
      <c r="K84" s="24"/>
      <c r="L84" s="24"/>
      <c r="M84" s="24"/>
      <c r="N84" s="24"/>
      <c r="O84" s="24"/>
      <c r="P84" s="23">
        <f t="shared" ref="P84:P99" si="13">E84+J84</f>
        <v>0</v>
      </c>
    </row>
    <row r="85" spans="1:16" ht="41.25" customHeight="1" x14ac:dyDescent="0.25">
      <c r="A85" s="50" t="s">
        <v>164</v>
      </c>
      <c r="B85" s="34" t="s">
        <v>28</v>
      </c>
      <c r="C85" s="35" t="s">
        <v>29</v>
      </c>
      <c r="D85" s="37" t="s">
        <v>30</v>
      </c>
      <c r="E85" s="23">
        <f t="shared" ref="E85:E99" si="14">F85+I85</f>
        <v>144000</v>
      </c>
      <c r="F85" s="39">
        <v>144000</v>
      </c>
      <c r="G85" s="24"/>
      <c r="H85" s="24"/>
      <c r="I85" s="24"/>
      <c r="J85" s="23">
        <f t="shared" si="12"/>
        <v>0</v>
      </c>
      <c r="K85" s="24"/>
      <c r="L85" s="24"/>
      <c r="M85" s="24"/>
      <c r="N85" s="24"/>
      <c r="O85" s="24"/>
      <c r="P85" s="23">
        <f t="shared" si="13"/>
        <v>144000</v>
      </c>
    </row>
    <row r="86" spans="1:16" ht="41.25" customHeight="1" x14ac:dyDescent="0.25">
      <c r="A86" s="51" t="s">
        <v>165</v>
      </c>
      <c r="B86" s="20" t="s">
        <v>32</v>
      </c>
      <c r="C86" s="21" t="s">
        <v>29</v>
      </c>
      <c r="D86" s="22" t="s">
        <v>33</v>
      </c>
      <c r="E86" s="23">
        <f t="shared" si="14"/>
        <v>1200</v>
      </c>
      <c r="F86" s="39">
        <v>1200</v>
      </c>
      <c r="G86" s="24"/>
      <c r="H86" s="24"/>
      <c r="I86" s="24"/>
      <c r="J86" s="23">
        <f t="shared" si="12"/>
        <v>0</v>
      </c>
      <c r="K86" s="24"/>
      <c r="L86" s="24"/>
      <c r="M86" s="24"/>
      <c r="N86" s="24"/>
      <c r="O86" s="24"/>
      <c r="P86" s="23">
        <f t="shared" si="13"/>
        <v>1200</v>
      </c>
    </row>
    <row r="87" spans="1:16" ht="52.5" customHeight="1" x14ac:dyDescent="0.25">
      <c r="A87" s="52"/>
      <c r="B87" s="10"/>
      <c r="C87" s="11"/>
      <c r="D87" s="12" t="s">
        <v>34</v>
      </c>
      <c r="E87" s="23">
        <f t="shared" si="14"/>
        <v>1200</v>
      </c>
      <c r="F87" s="42">
        <v>1200</v>
      </c>
      <c r="G87" s="24"/>
      <c r="H87" s="24"/>
      <c r="I87" s="24"/>
      <c r="J87" s="23">
        <f t="shared" si="12"/>
        <v>0</v>
      </c>
      <c r="K87" s="24"/>
      <c r="L87" s="24"/>
      <c r="M87" s="24"/>
      <c r="N87" s="24"/>
      <c r="O87" s="24"/>
      <c r="P87" s="23">
        <f t="shared" si="13"/>
        <v>1200</v>
      </c>
    </row>
    <row r="88" spans="1:16" ht="41.25" customHeight="1" x14ac:dyDescent="0.25">
      <c r="A88" s="51" t="s">
        <v>166</v>
      </c>
      <c r="B88" s="20" t="s">
        <v>36</v>
      </c>
      <c r="C88" s="21" t="s">
        <v>37</v>
      </c>
      <c r="D88" s="22" t="s">
        <v>38</v>
      </c>
      <c r="E88" s="23">
        <f t="shared" si="14"/>
        <v>3870</v>
      </c>
      <c r="F88" s="39">
        <v>3870</v>
      </c>
      <c r="G88" s="24"/>
      <c r="H88" s="24"/>
      <c r="I88" s="24"/>
      <c r="J88" s="23">
        <f t="shared" si="12"/>
        <v>0</v>
      </c>
      <c r="K88" s="24"/>
      <c r="L88" s="24"/>
      <c r="M88" s="24"/>
      <c r="N88" s="24"/>
      <c r="O88" s="24"/>
      <c r="P88" s="23">
        <f t="shared" si="13"/>
        <v>3870</v>
      </c>
    </row>
    <row r="89" spans="1:16" ht="66" customHeight="1" x14ac:dyDescent="0.25">
      <c r="A89" s="51"/>
      <c r="B89" s="20"/>
      <c r="C89" s="21"/>
      <c r="D89" s="12" t="s">
        <v>39</v>
      </c>
      <c r="E89" s="23">
        <f t="shared" si="14"/>
        <v>3870</v>
      </c>
      <c r="F89" s="42">
        <v>3870</v>
      </c>
      <c r="G89" s="24"/>
      <c r="H89" s="24"/>
      <c r="I89" s="24"/>
      <c r="J89" s="23">
        <f t="shared" si="12"/>
        <v>0</v>
      </c>
      <c r="K89" s="24"/>
      <c r="L89" s="24"/>
      <c r="M89" s="24"/>
      <c r="N89" s="24"/>
      <c r="O89" s="24"/>
      <c r="P89" s="23">
        <f t="shared" si="13"/>
        <v>3870</v>
      </c>
    </row>
    <row r="90" spans="1:16" ht="43.5" customHeight="1" x14ac:dyDescent="0.25">
      <c r="A90" s="57" t="s">
        <v>215</v>
      </c>
      <c r="B90" s="25" t="s">
        <v>36</v>
      </c>
      <c r="C90" s="25" t="s">
        <v>216</v>
      </c>
      <c r="D90" s="66" t="s">
        <v>217</v>
      </c>
      <c r="E90" s="23">
        <f t="shared" si="14"/>
        <v>0</v>
      </c>
      <c r="F90" s="42">
        <v>0</v>
      </c>
      <c r="G90" s="24"/>
      <c r="H90" s="24"/>
      <c r="I90" s="24"/>
      <c r="J90" s="23"/>
      <c r="K90" s="24"/>
      <c r="L90" s="24"/>
      <c r="M90" s="24"/>
      <c r="N90" s="24"/>
      <c r="O90" s="24"/>
      <c r="P90" s="23">
        <f t="shared" si="13"/>
        <v>0</v>
      </c>
    </row>
    <row r="91" spans="1:16" ht="71.25" customHeight="1" x14ac:dyDescent="0.25">
      <c r="A91" s="53" t="s">
        <v>167</v>
      </c>
      <c r="B91" s="25" t="s">
        <v>147</v>
      </c>
      <c r="C91" s="25" t="s">
        <v>42</v>
      </c>
      <c r="D91" s="12" t="s">
        <v>148</v>
      </c>
      <c r="E91" s="23">
        <f t="shared" si="14"/>
        <v>100000</v>
      </c>
      <c r="F91" s="42">
        <v>100000</v>
      </c>
      <c r="G91" s="24"/>
      <c r="H91" s="24"/>
      <c r="I91" s="24"/>
      <c r="J91" s="23">
        <f t="shared" si="12"/>
        <v>0</v>
      </c>
      <c r="K91" s="24"/>
      <c r="L91" s="24"/>
      <c r="M91" s="24"/>
      <c r="N91" s="24"/>
      <c r="O91" s="24"/>
      <c r="P91" s="23">
        <f t="shared" si="13"/>
        <v>100000</v>
      </c>
    </row>
    <row r="92" spans="1:16" ht="54.75" customHeight="1" x14ac:dyDescent="0.25">
      <c r="A92" s="51" t="s">
        <v>168</v>
      </c>
      <c r="B92" s="20" t="s">
        <v>41</v>
      </c>
      <c r="C92" s="21" t="s">
        <v>42</v>
      </c>
      <c r="D92" s="22" t="s">
        <v>43</v>
      </c>
      <c r="E92" s="23">
        <f t="shared" si="14"/>
        <v>1680</v>
      </c>
      <c r="F92" s="39">
        <v>1680</v>
      </c>
      <c r="G92" s="24"/>
      <c r="H92" s="24"/>
      <c r="I92" s="24"/>
      <c r="J92" s="23">
        <f t="shared" si="12"/>
        <v>0</v>
      </c>
      <c r="K92" s="24"/>
      <c r="L92" s="24"/>
      <c r="M92" s="24"/>
      <c r="N92" s="24"/>
      <c r="O92" s="24"/>
      <c r="P92" s="23">
        <f t="shared" si="13"/>
        <v>1680</v>
      </c>
    </row>
    <row r="93" spans="1:16" ht="90" customHeight="1" x14ac:dyDescent="0.25">
      <c r="A93" s="52"/>
      <c r="B93" s="10"/>
      <c r="C93" s="11"/>
      <c r="D93" s="12" t="s">
        <v>44</v>
      </c>
      <c r="E93" s="23">
        <f t="shared" si="14"/>
        <v>1680</v>
      </c>
      <c r="F93" s="42">
        <v>1680</v>
      </c>
      <c r="G93" s="24"/>
      <c r="H93" s="24"/>
      <c r="I93" s="24"/>
      <c r="J93" s="23">
        <f t="shared" si="12"/>
        <v>0</v>
      </c>
      <c r="K93" s="24"/>
      <c r="L93" s="24"/>
      <c r="M93" s="24"/>
      <c r="N93" s="24"/>
      <c r="O93" s="24"/>
      <c r="P93" s="23">
        <f t="shared" si="13"/>
        <v>1680</v>
      </c>
    </row>
    <row r="94" spans="1:16" ht="65.25" customHeight="1" x14ac:dyDescent="0.25">
      <c r="A94" s="57" t="s">
        <v>169</v>
      </c>
      <c r="B94" s="20">
        <v>3180</v>
      </c>
      <c r="C94" s="25">
        <v>1060</v>
      </c>
      <c r="D94" s="22" t="s">
        <v>149</v>
      </c>
      <c r="E94" s="23">
        <f t="shared" si="14"/>
        <v>5000</v>
      </c>
      <c r="F94" s="42">
        <v>5000</v>
      </c>
      <c r="G94" s="24"/>
      <c r="H94" s="24"/>
      <c r="I94" s="24"/>
      <c r="J94" s="23">
        <f t="shared" si="12"/>
        <v>0</v>
      </c>
      <c r="K94" s="24"/>
      <c r="L94" s="24"/>
      <c r="M94" s="24"/>
      <c r="N94" s="24"/>
      <c r="O94" s="24"/>
      <c r="P94" s="23">
        <f t="shared" si="13"/>
        <v>5000</v>
      </c>
    </row>
    <row r="95" spans="1:16" ht="40.5" customHeight="1" x14ac:dyDescent="0.25">
      <c r="A95" s="51" t="s">
        <v>170</v>
      </c>
      <c r="B95" s="20" t="s">
        <v>46</v>
      </c>
      <c r="C95" s="21" t="s">
        <v>37</v>
      </c>
      <c r="D95" s="22" t="s">
        <v>47</v>
      </c>
      <c r="E95" s="23">
        <f t="shared" si="14"/>
        <v>3190</v>
      </c>
      <c r="F95" s="39">
        <v>3190</v>
      </c>
      <c r="G95" s="24"/>
      <c r="H95" s="24"/>
      <c r="I95" s="24"/>
      <c r="J95" s="23">
        <f t="shared" si="12"/>
        <v>0</v>
      </c>
      <c r="K95" s="24"/>
      <c r="L95" s="24"/>
      <c r="M95" s="24"/>
      <c r="N95" s="24"/>
      <c r="O95" s="24"/>
      <c r="P95" s="23">
        <f t="shared" si="13"/>
        <v>3190</v>
      </c>
    </row>
    <row r="96" spans="1:16" ht="41.25" hidden="1" customHeight="1" x14ac:dyDescent="0.25">
      <c r="A96" s="52"/>
      <c r="B96" s="10"/>
      <c r="C96" s="11"/>
      <c r="D96" s="12" t="s">
        <v>48</v>
      </c>
      <c r="E96" s="23">
        <f t="shared" si="14"/>
        <v>0</v>
      </c>
      <c r="F96" s="42"/>
      <c r="G96" s="24"/>
      <c r="H96" s="24"/>
      <c r="I96" s="24"/>
      <c r="J96" s="23">
        <f t="shared" si="12"/>
        <v>0</v>
      </c>
      <c r="K96" s="24"/>
      <c r="L96" s="24"/>
      <c r="M96" s="24"/>
      <c r="N96" s="24"/>
      <c r="O96" s="24"/>
      <c r="P96" s="23">
        <f t="shared" si="13"/>
        <v>0</v>
      </c>
    </row>
    <row r="97" spans="1:16" ht="63" customHeight="1" x14ac:dyDescent="0.25">
      <c r="A97" s="52"/>
      <c r="B97" s="10"/>
      <c r="C97" s="11"/>
      <c r="D97" s="12" t="s">
        <v>49</v>
      </c>
      <c r="E97" s="23">
        <f t="shared" si="14"/>
        <v>3190</v>
      </c>
      <c r="F97" s="42">
        <v>3190</v>
      </c>
      <c r="G97" s="24"/>
      <c r="H97" s="24"/>
      <c r="I97" s="24"/>
      <c r="J97" s="23">
        <f t="shared" si="12"/>
        <v>0</v>
      </c>
      <c r="K97" s="24"/>
      <c r="L97" s="24"/>
      <c r="M97" s="24"/>
      <c r="N97" s="24"/>
      <c r="O97" s="24"/>
      <c r="P97" s="23">
        <f t="shared" si="13"/>
        <v>3190</v>
      </c>
    </row>
    <row r="98" spans="1:16" ht="41.25" hidden="1" customHeight="1" x14ac:dyDescent="0.25">
      <c r="A98" s="51" t="s">
        <v>50</v>
      </c>
      <c r="B98" s="20" t="s">
        <v>51</v>
      </c>
      <c r="C98" s="21" t="s">
        <v>52</v>
      </c>
      <c r="D98" s="22" t="s">
        <v>53</v>
      </c>
      <c r="E98" s="23">
        <f t="shared" si="14"/>
        <v>0</v>
      </c>
      <c r="F98" s="39"/>
      <c r="G98" s="24"/>
      <c r="H98" s="24"/>
      <c r="I98" s="24"/>
      <c r="J98" s="23">
        <f t="shared" si="12"/>
        <v>0</v>
      </c>
      <c r="K98" s="24"/>
      <c r="L98" s="24"/>
      <c r="M98" s="24"/>
      <c r="N98" s="24"/>
      <c r="O98" s="24"/>
      <c r="P98" s="23">
        <f t="shared" si="13"/>
        <v>0</v>
      </c>
    </row>
    <row r="99" spans="1:16" ht="41.25" customHeight="1" x14ac:dyDescent="0.25">
      <c r="A99" s="51" t="s">
        <v>171</v>
      </c>
      <c r="B99" s="20" t="s">
        <v>55</v>
      </c>
      <c r="C99" s="21" t="s">
        <v>56</v>
      </c>
      <c r="D99" s="22" t="s">
        <v>57</v>
      </c>
      <c r="E99" s="23">
        <f t="shared" si="14"/>
        <v>70000</v>
      </c>
      <c r="F99" s="39">
        <v>70000</v>
      </c>
      <c r="G99" s="24"/>
      <c r="H99" s="24"/>
      <c r="I99" s="24"/>
      <c r="J99" s="23">
        <f t="shared" si="12"/>
        <v>0</v>
      </c>
      <c r="K99" s="24"/>
      <c r="L99" s="24"/>
      <c r="M99" s="24"/>
      <c r="N99" s="24"/>
      <c r="O99" s="24"/>
      <c r="P99" s="23">
        <f t="shared" si="13"/>
        <v>70000</v>
      </c>
    </row>
    <row r="100" spans="1:16" ht="18" customHeight="1" x14ac:dyDescent="0.25">
      <c r="A100" s="57" t="s">
        <v>141</v>
      </c>
      <c r="B100" s="25"/>
      <c r="C100" s="21"/>
      <c r="D100" s="38" t="s">
        <v>140</v>
      </c>
      <c r="E100" s="40">
        <f t="shared" ref="E100:I101" si="15">E101</f>
        <v>663087</v>
      </c>
      <c r="F100" s="39">
        <f t="shared" si="15"/>
        <v>663087</v>
      </c>
      <c r="G100" s="40">
        <f t="shared" si="15"/>
        <v>511680</v>
      </c>
      <c r="H100" s="40">
        <f t="shared" si="15"/>
        <v>10840</v>
      </c>
      <c r="I100" s="24">
        <f t="shared" si="15"/>
        <v>0</v>
      </c>
      <c r="J100" s="23">
        <f t="shared" si="12"/>
        <v>0</v>
      </c>
      <c r="K100" s="24">
        <v>0</v>
      </c>
      <c r="L100" s="24"/>
      <c r="M100" s="24"/>
      <c r="N100" s="24"/>
      <c r="O100" s="24">
        <v>0</v>
      </c>
      <c r="P100" s="23">
        <f>E100+J100</f>
        <v>663087</v>
      </c>
    </row>
    <row r="101" spans="1:16" ht="21" customHeight="1" x14ac:dyDescent="0.25">
      <c r="A101" s="57" t="s">
        <v>143</v>
      </c>
      <c r="B101" s="25"/>
      <c r="C101" s="21"/>
      <c r="D101" s="38" t="s">
        <v>140</v>
      </c>
      <c r="E101" s="40">
        <f t="shared" si="15"/>
        <v>663087</v>
      </c>
      <c r="F101" s="39">
        <f t="shared" si="15"/>
        <v>663087</v>
      </c>
      <c r="G101" s="40">
        <f t="shared" si="15"/>
        <v>511680</v>
      </c>
      <c r="H101" s="40">
        <f t="shared" si="15"/>
        <v>10840</v>
      </c>
      <c r="I101" s="24">
        <f t="shared" si="15"/>
        <v>0</v>
      </c>
      <c r="J101" s="23">
        <f t="shared" si="12"/>
        <v>0</v>
      </c>
      <c r="K101" s="24">
        <v>0</v>
      </c>
      <c r="L101" s="24"/>
      <c r="M101" s="24"/>
      <c r="N101" s="24"/>
      <c r="O101" s="24">
        <v>0</v>
      </c>
      <c r="P101" s="23">
        <f t="shared" ref="P101:P106" si="16">E101+J101</f>
        <v>663087</v>
      </c>
    </row>
    <row r="102" spans="1:16" ht="45.75" customHeight="1" x14ac:dyDescent="0.25">
      <c r="A102" s="57" t="s">
        <v>142</v>
      </c>
      <c r="B102" s="25" t="s">
        <v>27</v>
      </c>
      <c r="C102" s="25" t="s">
        <v>23</v>
      </c>
      <c r="D102" s="45" t="s">
        <v>120</v>
      </c>
      <c r="E102" s="39">
        <f t="shared" si="8"/>
        <v>663087</v>
      </c>
      <c r="F102" s="48">
        <v>663087</v>
      </c>
      <c r="G102" s="24">
        <v>511680</v>
      </c>
      <c r="H102" s="24">
        <v>10840</v>
      </c>
      <c r="I102" s="24">
        <v>0</v>
      </c>
      <c r="J102" s="23">
        <f t="shared" si="12"/>
        <v>0</v>
      </c>
      <c r="K102" s="24">
        <v>0</v>
      </c>
      <c r="L102" s="24"/>
      <c r="M102" s="24"/>
      <c r="N102" s="24"/>
      <c r="O102" s="24">
        <v>0</v>
      </c>
      <c r="P102" s="23">
        <f t="shared" si="16"/>
        <v>663087</v>
      </c>
    </row>
    <row r="103" spans="1:16" x14ac:dyDescent="0.25">
      <c r="A103" s="56" t="s">
        <v>116</v>
      </c>
      <c r="B103" s="6"/>
      <c r="C103" s="7"/>
      <c r="D103" s="8" t="s">
        <v>117</v>
      </c>
      <c r="E103" s="9">
        <f>E104</f>
        <v>2702836</v>
      </c>
      <c r="F103" s="59">
        <f t="shared" ref="F103:O103" si="17">F104</f>
        <v>2652836</v>
      </c>
      <c r="G103" s="9">
        <f t="shared" si="17"/>
        <v>540900</v>
      </c>
      <c r="H103" s="9">
        <f t="shared" si="17"/>
        <v>10454</v>
      </c>
      <c r="I103" s="9">
        <f t="shared" si="17"/>
        <v>0</v>
      </c>
      <c r="J103" s="23">
        <f t="shared" si="12"/>
        <v>0</v>
      </c>
      <c r="K103" s="9">
        <f t="shared" si="17"/>
        <v>0</v>
      </c>
      <c r="L103" s="9">
        <f t="shared" si="17"/>
        <v>0</v>
      </c>
      <c r="M103" s="9">
        <f t="shared" si="17"/>
        <v>0</v>
      </c>
      <c r="N103" s="9">
        <f t="shared" si="17"/>
        <v>0</v>
      </c>
      <c r="O103" s="9">
        <f t="shared" si="17"/>
        <v>0</v>
      </c>
      <c r="P103" s="9">
        <f>E103+J103</f>
        <v>2702836</v>
      </c>
    </row>
    <row r="104" spans="1:16" x14ac:dyDescent="0.25">
      <c r="A104" s="56" t="s">
        <v>118</v>
      </c>
      <c r="B104" s="6"/>
      <c r="C104" s="7"/>
      <c r="D104" s="8" t="s">
        <v>117</v>
      </c>
      <c r="E104" s="9">
        <f>E105+E106+E109+E107+E110</f>
        <v>2702836</v>
      </c>
      <c r="F104" s="59">
        <f>F105+F106+F109+F107+F110</f>
        <v>2652836</v>
      </c>
      <c r="G104" s="9">
        <f>G105+G106+G109+G107</f>
        <v>540900</v>
      </c>
      <c r="H104" s="9">
        <f t="shared" ref="H104:O104" si="18">H105+H106+H109+H107</f>
        <v>10454</v>
      </c>
      <c r="I104" s="9">
        <f t="shared" si="18"/>
        <v>0</v>
      </c>
      <c r="J104" s="23">
        <f t="shared" si="12"/>
        <v>0</v>
      </c>
      <c r="K104" s="9">
        <f t="shared" si="18"/>
        <v>0</v>
      </c>
      <c r="L104" s="9">
        <f t="shared" si="18"/>
        <v>0</v>
      </c>
      <c r="M104" s="9">
        <f t="shared" si="18"/>
        <v>0</v>
      </c>
      <c r="N104" s="9">
        <f t="shared" si="18"/>
        <v>0</v>
      </c>
      <c r="O104" s="9">
        <f t="shared" si="18"/>
        <v>0</v>
      </c>
      <c r="P104" s="9">
        <f>E104+J104</f>
        <v>2702836</v>
      </c>
    </row>
    <row r="105" spans="1:16" ht="49.5" customHeight="1" x14ac:dyDescent="0.25">
      <c r="A105" s="51" t="s">
        <v>119</v>
      </c>
      <c r="B105" s="20" t="s">
        <v>27</v>
      </c>
      <c r="C105" s="21" t="s">
        <v>23</v>
      </c>
      <c r="D105" s="22" t="s">
        <v>120</v>
      </c>
      <c r="E105" s="23">
        <f>F105+I105</f>
        <v>695352</v>
      </c>
      <c r="F105" s="48">
        <v>695352</v>
      </c>
      <c r="G105" s="24">
        <v>540900</v>
      </c>
      <c r="H105" s="24">
        <v>10454</v>
      </c>
      <c r="I105" s="24">
        <v>0</v>
      </c>
      <c r="J105" s="23">
        <f t="shared" si="12"/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3">
        <f t="shared" si="16"/>
        <v>695352</v>
      </c>
    </row>
    <row r="106" spans="1:16" ht="13.5" customHeight="1" x14ac:dyDescent="0.25">
      <c r="A106" s="51" t="s">
        <v>121</v>
      </c>
      <c r="B106" s="20" t="s">
        <v>122</v>
      </c>
      <c r="C106" s="21" t="s">
        <v>26</v>
      </c>
      <c r="D106" s="22" t="s">
        <v>123</v>
      </c>
      <c r="E106" s="23">
        <v>50000</v>
      </c>
      <c r="F106" s="39">
        <v>0</v>
      </c>
      <c r="G106" s="24">
        <v>0</v>
      </c>
      <c r="H106" s="24">
        <v>0</v>
      </c>
      <c r="I106" s="24">
        <v>0</v>
      </c>
      <c r="J106" s="23">
        <f t="shared" si="12"/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3">
        <f t="shared" si="16"/>
        <v>50000</v>
      </c>
    </row>
    <row r="107" spans="1:16" ht="69.75" hidden="1" customHeight="1" x14ac:dyDescent="0.25">
      <c r="A107" s="50"/>
      <c r="B107" s="34"/>
      <c r="C107" s="35"/>
      <c r="D107" s="37"/>
      <c r="E107" s="23">
        <f>F107+I107</f>
        <v>0</v>
      </c>
      <c r="F107" s="39">
        <v>0</v>
      </c>
      <c r="G107" s="24"/>
      <c r="H107" s="24"/>
      <c r="I107" s="24"/>
      <c r="J107" s="23">
        <f t="shared" si="12"/>
        <v>0</v>
      </c>
      <c r="K107" s="24"/>
      <c r="L107" s="24"/>
      <c r="M107" s="24"/>
      <c r="N107" s="24"/>
      <c r="O107" s="24"/>
      <c r="P107" s="23">
        <f>E107</f>
        <v>0</v>
      </c>
    </row>
    <row r="108" spans="1:16" ht="60.75" hidden="1" customHeight="1" x14ac:dyDescent="0.25">
      <c r="A108" s="51"/>
      <c r="B108" s="20"/>
      <c r="C108" s="21"/>
      <c r="D108" s="12"/>
      <c r="E108" s="23">
        <f>F108+I108</f>
        <v>0</v>
      </c>
      <c r="F108" s="42"/>
      <c r="G108" s="24"/>
      <c r="H108" s="24"/>
      <c r="I108" s="24"/>
      <c r="J108" s="23">
        <f t="shared" si="12"/>
        <v>0</v>
      </c>
      <c r="K108" s="24"/>
      <c r="L108" s="24"/>
      <c r="M108" s="24"/>
      <c r="N108" s="24"/>
      <c r="O108" s="24"/>
      <c r="P108" s="23">
        <f>E108</f>
        <v>0</v>
      </c>
    </row>
    <row r="109" spans="1:16" ht="18.75" customHeight="1" x14ac:dyDescent="0.25">
      <c r="A109" s="51" t="s">
        <v>126</v>
      </c>
      <c r="B109" s="20" t="s">
        <v>127</v>
      </c>
      <c r="C109" s="21" t="s">
        <v>25</v>
      </c>
      <c r="D109" s="22" t="s">
        <v>128</v>
      </c>
      <c r="E109" s="23">
        <f>F109+I109</f>
        <v>1957484</v>
      </c>
      <c r="F109" s="24">
        <f>163484+1444000+350000</f>
        <v>1957484</v>
      </c>
      <c r="G109" s="24">
        <v>0</v>
      </c>
      <c r="H109" s="24">
        <v>0</v>
      </c>
      <c r="I109" s="47"/>
      <c r="J109" s="23">
        <f t="shared" si="12"/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3">
        <f>E109+J109</f>
        <v>1957484</v>
      </c>
    </row>
    <row r="110" spans="1:16" ht="62.25" hidden="1" customHeight="1" x14ac:dyDescent="0.25">
      <c r="A110" s="51"/>
      <c r="B110" s="20"/>
      <c r="C110" s="25"/>
      <c r="D110" s="22"/>
      <c r="E110" s="23">
        <f>F110+I110</f>
        <v>0</v>
      </c>
      <c r="F110" s="24"/>
      <c r="G110" s="24"/>
      <c r="H110" s="24"/>
      <c r="I110" s="47"/>
      <c r="J110" s="23">
        <f t="shared" si="12"/>
        <v>0</v>
      </c>
      <c r="K110" s="24"/>
      <c r="L110" s="24"/>
      <c r="M110" s="24"/>
      <c r="N110" s="24"/>
      <c r="O110" s="24"/>
      <c r="P110" s="23">
        <f>E110+J110</f>
        <v>0</v>
      </c>
    </row>
    <row r="111" spans="1:16" x14ac:dyDescent="0.25">
      <c r="A111" s="14" t="s">
        <v>129</v>
      </c>
      <c r="B111" s="15" t="s">
        <v>129</v>
      </c>
      <c r="C111" s="16" t="s">
        <v>129</v>
      </c>
      <c r="D111" s="17" t="s">
        <v>130</v>
      </c>
      <c r="E111" s="9">
        <f>E103+E54+E15+E100+E80</f>
        <v>62642932</v>
      </c>
      <c r="F111" s="9">
        <f>F103+F54+F15+F100+F80</f>
        <v>62592932</v>
      </c>
      <c r="G111" s="9">
        <f t="shared" ref="G111:O111" si="19">G103+G54+G15+G100+G80</f>
        <v>38805853</v>
      </c>
      <c r="H111" s="9">
        <f t="shared" si="19"/>
        <v>6553861</v>
      </c>
      <c r="I111" s="9">
        <f>I103+I54+I15+I100+I80</f>
        <v>0</v>
      </c>
      <c r="J111" s="9">
        <f>J103+J54+J15+J100+J80</f>
        <v>5117050</v>
      </c>
      <c r="K111" s="9">
        <f>K103+K54+K15+K100+K80</f>
        <v>4361935</v>
      </c>
      <c r="L111" s="9">
        <f t="shared" si="19"/>
        <v>755115</v>
      </c>
      <c r="M111" s="9">
        <f t="shared" si="19"/>
        <v>0</v>
      </c>
      <c r="N111" s="9">
        <f t="shared" si="19"/>
        <v>0</v>
      </c>
      <c r="O111" s="9">
        <f t="shared" si="19"/>
        <v>4361935</v>
      </c>
      <c r="P111" s="9">
        <f>P103+P54+P15+P100+P80</f>
        <v>67759982</v>
      </c>
    </row>
    <row r="112" spans="1:16" x14ac:dyDescent="0.25">
      <c r="A112" s="26"/>
      <c r="B112" s="26"/>
      <c r="C112" s="26"/>
      <c r="D112" s="26"/>
      <c r="E112" s="27"/>
      <c r="F112" s="26"/>
      <c r="G112" s="26"/>
      <c r="H112" s="28"/>
      <c r="I112" s="26"/>
      <c r="J112" s="26"/>
      <c r="K112" s="26"/>
      <c r="L112" s="26"/>
      <c r="M112" s="26"/>
      <c r="N112" s="26"/>
      <c r="O112" s="26"/>
      <c r="P112" s="26"/>
    </row>
    <row r="113" spans="1:16" x14ac:dyDescent="0.25">
      <c r="A113" s="29"/>
      <c r="B113" s="29"/>
      <c r="C113" s="29"/>
      <c r="D113" s="29"/>
      <c r="E113" s="27"/>
      <c r="F113" s="29"/>
      <c r="G113" s="29"/>
      <c r="H113" s="29"/>
      <c r="I113" s="29"/>
      <c r="J113" s="30"/>
      <c r="K113" s="29"/>
      <c r="L113" s="29"/>
      <c r="M113" s="29"/>
      <c r="N113" s="29"/>
      <c r="O113" s="29"/>
      <c r="P113" s="30"/>
    </row>
    <row r="114" spans="1:16" x14ac:dyDescent="0.25">
      <c r="B114" s="19" t="s">
        <v>131</v>
      </c>
      <c r="E114" s="18"/>
      <c r="I114" s="19" t="s">
        <v>137</v>
      </c>
    </row>
  </sheetData>
  <mergeCells count="25">
    <mergeCell ref="J10:O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  <mergeCell ref="O11:O13"/>
    <mergeCell ref="G12:G13"/>
    <mergeCell ref="H12:H13"/>
    <mergeCell ref="M12:M13"/>
    <mergeCell ref="N12:N13"/>
    <mergeCell ref="M4:P4"/>
    <mergeCell ref="A6:P6"/>
    <mergeCell ref="A7:P7"/>
    <mergeCell ref="G8:I8"/>
    <mergeCell ref="G9:I9"/>
    <mergeCell ref="A10:A13"/>
    <mergeCell ref="B10:B13"/>
    <mergeCell ref="C10:C13"/>
    <mergeCell ref="D10:D13"/>
    <mergeCell ref="E10:I10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3"/>
  <sheetViews>
    <sheetView topLeftCell="E100" workbookViewId="0">
      <selection activeCell="F17" sqref="F17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2.42578125" customWidth="1"/>
    <col min="11" max="11" width="13" customWidth="1"/>
    <col min="12" max="12" width="11.7109375" customWidth="1"/>
    <col min="13" max="13" width="10.5703125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73" t="s">
        <v>161</v>
      </c>
      <c r="N4" s="73"/>
      <c r="O4" s="73"/>
      <c r="P4" s="73"/>
    </row>
    <row r="5" spans="1:16" x14ac:dyDescent="0.25">
      <c r="M5" s="60" t="s">
        <v>214</v>
      </c>
    </row>
    <row r="6" spans="1:16" x14ac:dyDescent="0.25">
      <c r="A6" s="74" t="s">
        <v>1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</row>
    <row r="7" spans="1:16" x14ac:dyDescent="0.25">
      <c r="A7" s="74" t="s">
        <v>2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</row>
    <row r="8" spans="1:16" x14ac:dyDescent="0.25">
      <c r="A8" s="32">
        <v>14555000000</v>
      </c>
      <c r="B8" s="1"/>
      <c r="C8" s="1"/>
      <c r="D8" s="1"/>
      <c r="E8" s="1"/>
      <c r="F8" s="1"/>
      <c r="G8" s="76">
        <v>14555000000</v>
      </c>
      <c r="H8" s="76"/>
      <c r="I8" s="76"/>
      <c r="J8" s="1"/>
      <c r="K8" s="1"/>
      <c r="L8" s="1"/>
      <c r="M8" s="1"/>
      <c r="N8" s="1"/>
      <c r="O8" s="1"/>
      <c r="P8" s="1"/>
    </row>
    <row r="9" spans="1:16" x14ac:dyDescent="0.25">
      <c r="A9" s="2" t="s">
        <v>3</v>
      </c>
      <c r="G9" s="77" t="s">
        <v>3</v>
      </c>
      <c r="H9" s="77"/>
      <c r="I9" s="77"/>
      <c r="P9" s="3" t="s">
        <v>4</v>
      </c>
    </row>
    <row r="10" spans="1:16" x14ac:dyDescent="0.25">
      <c r="A10" s="71" t="s">
        <v>5</v>
      </c>
      <c r="B10" s="71" t="s">
        <v>6</v>
      </c>
      <c r="C10" s="71" t="s">
        <v>7</v>
      </c>
      <c r="D10" s="72" t="s">
        <v>8</v>
      </c>
      <c r="E10" s="72" t="s">
        <v>9</v>
      </c>
      <c r="F10" s="72"/>
      <c r="G10" s="72"/>
      <c r="H10" s="72"/>
      <c r="I10" s="72"/>
      <c r="J10" s="72" t="s">
        <v>10</v>
      </c>
      <c r="K10" s="72"/>
      <c r="L10" s="72"/>
      <c r="M10" s="72"/>
      <c r="N10" s="72"/>
      <c r="O10" s="72"/>
      <c r="P10" s="78" t="s">
        <v>11</v>
      </c>
    </row>
    <row r="11" spans="1:16" x14ac:dyDescent="0.25">
      <c r="A11" s="72"/>
      <c r="B11" s="72"/>
      <c r="C11" s="72"/>
      <c r="D11" s="72"/>
      <c r="E11" s="78" t="s">
        <v>12</v>
      </c>
      <c r="F11" s="72" t="s">
        <v>13</v>
      </c>
      <c r="G11" s="72" t="s">
        <v>14</v>
      </c>
      <c r="H11" s="72"/>
      <c r="I11" s="72" t="s">
        <v>15</v>
      </c>
      <c r="J11" s="78" t="s">
        <v>12</v>
      </c>
      <c r="K11" s="72" t="s">
        <v>16</v>
      </c>
      <c r="L11" s="72" t="s">
        <v>13</v>
      </c>
      <c r="M11" s="72" t="s">
        <v>14</v>
      </c>
      <c r="N11" s="72"/>
      <c r="O11" s="72" t="s">
        <v>15</v>
      </c>
      <c r="P11" s="72"/>
    </row>
    <row r="12" spans="1:16" x14ac:dyDescent="0.25">
      <c r="A12" s="72"/>
      <c r="B12" s="72"/>
      <c r="C12" s="72"/>
      <c r="D12" s="72"/>
      <c r="E12" s="72"/>
      <c r="F12" s="72"/>
      <c r="G12" s="72" t="s">
        <v>17</v>
      </c>
      <c r="H12" s="72" t="s">
        <v>18</v>
      </c>
      <c r="I12" s="72"/>
      <c r="J12" s="72"/>
      <c r="K12" s="72"/>
      <c r="L12" s="72"/>
      <c r="M12" s="72" t="s">
        <v>17</v>
      </c>
      <c r="N12" s="72" t="s">
        <v>18</v>
      </c>
      <c r="O12" s="72"/>
      <c r="P12" s="72"/>
    </row>
    <row r="13" spans="1:16" ht="24.75" customHeight="1" x14ac:dyDescent="0.25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15765658</v>
      </c>
      <c r="F15" s="9">
        <f t="shared" ref="F15:O15" si="0">F16</f>
        <v>15765658</v>
      </c>
      <c r="G15" s="9">
        <f t="shared" si="0"/>
        <v>8881012</v>
      </c>
      <c r="H15" s="9">
        <f t="shared" si="0"/>
        <v>1083624</v>
      </c>
      <c r="I15" s="9">
        <f t="shared" si="0"/>
        <v>0</v>
      </c>
      <c r="J15" s="9">
        <f>J16</f>
        <v>4361851</v>
      </c>
      <c r="K15" s="9">
        <f t="shared" si="0"/>
        <v>3498203</v>
      </c>
      <c r="L15" s="9">
        <f t="shared" si="0"/>
        <v>178500</v>
      </c>
      <c r="M15" s="9">
        <f t="shared" si="0"/>
        <v>0</v>
      </c>
      <c r="N15" s="9">
        <f t="shared" si="0"/>
        <v>0</v>
      </c>
      <c r="O15" s="9">
        <f t="shared" si="0"/>
        <v>4183351</v>
      </c>
      <c r="P15" s="9">
        <f>P16</f>
        <v>20127509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15765658</v>
      </c>
      <c r="F16" s="9">
        <f>F17+F20+F21+F22+F23+F25+F27+F28+F30+F31+F34+F35+F37+F38+F39+F40+F41+F42+F44+F45+F46+F47+F18+F43+F19+F52+F51+F53</f>
        <v>15765658</v>
      </c>
      <c r="G16" s="9">
        <f t="shared" ref="G16:N16" si="1">G17+G20+G21+G22+G23+G25+G27+G28+G30+G31+G34+G35+G37+G38+G39+G40+G41+G42+G44+G45+G46+G47+G18+G43+G19+G52</f>
        <v>8881012</v>
      </c>
      <c r="H16" s="9">
        <f t="shared" si="1"/>
        <v>1083624</v>
      </c>
      <c r="I16" s="9">
        <f t="shared" si="1"/>
        <v>0</v>
      </c>
      <c r="J16" s="9">
        <f>L16+O16</f>
        <v>4361851</v>
      </c>
      <c r="K16" s="9">
        <f>K17+K20+K21+K22+K23+K25+K27+K28+K30+K31+K34+K35+K37+K38+K39+K40+K41+K42+K44+K45+K46+K47+K18+K43+K19+K52+K49+K50+K51</f>
        <v>3498203</v>
      </c>
      <c r="L16" s="9">
        <f>L17+L20+L21+L22+L23+L25+L27+L28+L30+L31+L34+L35+L37+L38+L39+L40+L41+L42+L44+L45+L46+L47+L18+L43+L19+L52</f>
        <v>178500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4183351</v>
      </c>
      <c r="P16" s="9">
        <f>E16+J16</f>
        <v>20127509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9478568</v>
      </c>
      <c r="F17" s="48">
        <f>9622673-10000-404064-1823611+8000+48000-2500+20000+1220000+268000+224000+46200-50000+21000+32000+35000+-20310+167230+76950</f>
        <v>9478568</v>
      </c>
      <c r="G17" s="24">
        <f>7478100-331200-1495000-2050+1220000+167230+55000</f>
        <v>7092080</v>
      </c>
      <c r="H17" s="24">
        <f>162000+8000+60+62000+21000+32000-20310-12350</f>
        <v>252400</v>
      </c>
      <c r="I17" s="24">
        <v>0</v>
      </c>
      <c r="J17" s="23">
        <f>L17+O17</f>
        <v>58319</v>
      </c>
      <c r="K17" s="24">
        <f>600000+19900-561581</f>
        <v>58319</v>
      </c>
      <c r="L17" s="24"/>
      <c r="M17" s="24">
        <v>0</v>
      </c>
      <c r="N17" s="24">
        <v>0</v>
      </c>
      <c r="O17" s="24">
        <f>600000+19900-561581</f>
        <v>58319</v>
      </c>
      <c r="P17" s="23">
        <f>E17+J17</f>
        <v>9536887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55000</v>
      </c>
      <c r="F18" s="48">
        <f>10000+40000+50000-30000-15000</f>
        <v>55000</v>
      </c>
      <c r="G18" s="24"/>
      <c r="H18" s="24"/>
      <c r="I18" s="24"/>
      <c r="J18" s="23">
        <f t="shared" ref="J18:J43" si="2">L18+O18</f>
        <v>0</v>
      </c>
      <c r="K18" s="24"/>
      <c r="L18" s="24"/>
      <c r="M18" s="24"/>
      <c r="N18" s="24"/>
      <c r="O18" s="24"/>
      <c r="P18" s="23">
        <f>E18+J18</f>
        <v>55000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35000</v>
      </c>
      <c r="F19" s="48">
        <f>45000-10000</f>
        <v>35000</v>
      </c>
      <c r="G19" s="24"/>
      <c r="H19" s="24"/>
      <c r="I19" s="24"/>
      <c r="J19" s="23">
        <f t="shared" si="2"/>
        <v>0</v>
      </c>
      <c r="K19" s="24"/>
      <c r="L19" s="24"/>
      <c r="M19" s="24"/>
      <c r="N19" s="24"/>
      <c r="O19" s="24"/>
      <c r="P19" s="23">
        <f>E19+J19</f>
        <v>35000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2018431</v>
      </c>
      <c r="F20" s="39">
        <f>2019467+20000-21036</f>
        <v>2018431</v>
      </c>
      <c r="G20" s="24">
        <v>1496882</v>
      </c>
      <c r="H20" s="24">
        <f>70950-21036</f>
        <v>49914</v>
      </c>
      <c r="I20" s="24"/>
      <c r="J20" s="23">
        <f t="shared" si="2"/>
        <v>0</v>
      </c>
      <c r="K20" s="24"/>
      <c r="L20" s="24"/>
      <c r="M20" s="24"/>
      <c r="N20" s="24"/>
      <c r="O20" s="24"/>
      <c r="P20" s="23">
        <f t="shared" ref="P20:P53" si="3">E20+J20</f>
        <v>2018431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53" si="4">F22+I22</f>
        <v>290467</v>
      </c>
      <c r="F22" s="39">
        <f>2500+116567+146400+25000</f>
        <v>290467</v>
      </c>
      <c r="G22" s="24">
        <f>2050+95547+120000+20000</f>
        <v>237597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290467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65000</v>
      </c>
      <c r="F38" s="39">
        <f>200000-50000-50000+50000-50000-35000</f>
        <v>65000</v>
      </c>
      <c r="G38" s="24">
        <v>0</v>
      </c>
      <c r="H38" s="24">
        <v>0</v>
      </c>
      <c r="I38" s="24">
        <v>0</v>
      </c>
      <c r="J38" s="23">
        <f t="shared" si="2"/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3">
        <f t="shared" si="3"/>
        <v>65000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1907364</v>
      </c>
      <c r="F39" s="39">
        <f>1174824-99578+95160-50000-75000-116567+500000-16700-7800-3200-35380-16600-50000-22105-30000+85000+49000+50000+50000+200000+30000+35000+141000+20310</f>
        <v>1907364</v>
      </c>
      <c r="G39" s="24">
        <f>72000+78000-95547</f>
        <v>54453</v>
      </c>
      <c r="H39" s="24">
        <f>320000+200000+100000+141000+20310</f>
        <v>781310</v>
      </c>
      <c r="I39" s="24">
        <v>0</v>
      </c>
      <c r="J39" s="23">
        <f t="shared" si="2"/>
        <v>15000</v>
      </c>
      <c r="K39" s="24">
        <v>15000</v>
      </c>
      <c r="L39" s="24">
        <v>0</v>
      </c>
      <c r="M39" s="24">
        <v>0</v>
      </c>
      <c r="N39" s="24">
        <v>0</v>
      </c>
      <c r="O39" s="24">
        <v>15000</v>
      </c>
      <c r="P39" s="23">
        <f t="shared" si="3"/>
        <v>1922364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214200</v>
      </c>
      <c r="F40" s="39">
        <f>200000-40000-147100+3200+16600+30000+120000+50000-18500</f>
        <v>214200</v>
      </c>
      <c r="G40" s="24">
        <v>0</v>
      </c>
      <c r="H40" s="24">
        <v>0</v>
      </c>
      <c r="I40" s="24">
        <v>0</v>
      </c>
      <c r="J40" s="23">
        <f>K40+L40+O40</f>
        <v>685148</v>
      </c>
      <c r="K40" s="24"/>
      <c r="L40" s="24">
        <v>0</v>
      </c>
      <c r="M40" s="24">
        <v>0</v>
      </c>
      <c r="N40" s="24">
        <v>0</v>
      </c>
      <c r="O40" s="24">
        <v>685148</v>
      </c>
      <c r="P40" s="23">
        <f t="shared" si="3"/>
        <v>899348</v>
      </c>
    </row>
    <row r="41" spans="1:16" ht="27" hidden="1" customHeight="1" x14ac:dyDescent="0.25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99578</v>
      </c>
      <c r="F43" s="39">
        <v>99578</v>
      </c>
      <c r="G43" s="24"/>
      <c r="H43" s="24"/>
      <c r="I43" s="24"/>
      <c r="J43" s="23">
        <f t="shared" si="2"/>
        <v>0</v>
      </c>
      <c r="K43" s="24"/>
      <c r="L43" s="24"/>
      <c r="M43" s="24"/>
      <c r="N43" s="24"/>
      <c r="O43" s="24"/>
      <c r="P43" s="23">
        <f t="shared" si="3"/>
        <v>99578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ref="J44:J109" si="5">L44+O44</f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11000</v>
      </c>
      <c r="F45" s="39">
        <f>10000+1000</f>
        <v>11000</v>
      </c>
      <c r="G45" s="24">
        <v>0</v>
      </c>
      <c r="H45" s="24">
        <v>0</v>
      </c>
      <c r="I45" s="24">
        <v>0</v>
      </c>
      <c r="J45" s="23">
        <f t="shared" si="5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11000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4"/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5"/>
        <v>45700</v>
      </c>
      <c r="K46" s="24">
        <v>0</v>
      </c>
      <c r="L46" s="24">
        <v>45700</v>
      </c>
      <c r="M46" s="24">
        <v>0</v>
      </c>
      <c r="N46" s="24">
        <v>0</v>
      </c>
      <c r="O46" s="24">
        <v>0</v>
      </c>
      <c r="P46" s="23">
        <f t="shared" si="3"/>
        <v>45700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4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5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4"/>
        <v>0</v>
      </c>
      <c r="F48" s="39"/>
      <c r="G48" s="24"/>
      <c r="H48" s="24"/>
      <c r="I48" s="24"/>
      <c r="J48" s="23">
        <f t="shared" si="5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4"/>
        <v>0</v>
      </c>
      <c r="F49" s="39"/>
      <c r="G49" s="24"/>
      <c r="H49" s="24"/>
      <c r="I49" s="24"/>
      <c r="J49" s="23">
        <f t="shared" si="5"/>
        <v>14648</v>
      </c>
      <c r="K49" s="24">
        <v>14648</v>
      </c>
      <c r="L49" s="24"/>
      <c r="M49" s="24"/>
      <c r="N49" s="24"/>
      <c r="O49" s="24">
        <v>14648</v>
      </c>
      <c r="P49" s="23">
        <f t="shared" si="3"/>
        <v>14648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4"/>
        <v>0</v>
      </c>
      <c r="F50" s="39"/>
      <c r="G50" s="24"/>
      <c r="H50" s="24"/>
      <c r="I50" s="24"/>
      <c r="J50" s="23">
        <f t="shared" si="5"/>
        <v>175000</v>
      </c>
      <c r="K50" s="24">
        <f>50000+125000</f>
        <v>175000</v>
      </c>
      <c r="L50" s="24"/>
      <c r="M50" s="24"/>
      <c r="N50" s="24"/>
      <c r="O50" s="24">
        <f>50000+125000</f>
        <v>175000</v>
      </c>
      <c r="P50" s="23">
        <f t="shared" si="3"/>
        <v>175000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>
        <f t="shared" si="4"/>
        <v>197400</v>
      </c>
      <c r="F51" s="39">
        <f>200000+50000+10000-50000-9600-13000+10000</f>
        <v>197400</v>
      </c>
      <c r="G51" s="24"/>
      <c r="H51" s="24"/>
      <c r="I51" s="24"/>
      <c r="J51" s="23">
        <f t="shared" si="5"/>
        <v>280000</v>
      </c>
      <c r="K51" s="24">
        <f>250000+30000+50000-50000</f>
        <v>280000</v>
      </c>
      <c r="L51" s="24"/>
      <c r="M51" s="24"/>
      <c r="N51" s="24"/>
      <c r="O51" s="24">
        <f>250000+30000+50000-50000</f>
        <v>280000</v>
      </c>
      <c r="P51" s="23">
        <f t="shared" si="3"/>
        <v>477400</v>
      </c>
    </row>
    <row r="52" spans="1:18" ht="49.5" customHeight="1" x14ac:dyDescent="0.25">
      <c r="A52" s="55" t="s">
        <v>194</v>
      </c>
      <c r="B52" s="34">
        <v>7390</v>
      </c>
      <c r="C52" s="41" t="s">
        <v>195</v>
      </c>
      <c r="D52" s="37" t="s">
        <v>196</v>
      </c>
      <c r="E52" s="23">
        <f t="shared" si="4"/>
        <v>315650</v>
      </c>
      <c r="F52" s="39">
        <v>315650</v>
      </c>
      <c r="G52" s="24"/>
      <c r="H52" s="24"/>
      <c r="I52" s="24"/>
      <c r="J52" s="23">
        <f t="shared" si="5"/>
        <v>2955236</v>
      </c>
      <c r="K52" s="24">
        <f>621431+2686455-315650-37000</f>
        <v>2955236</v>
      </c>
      <c r="L52" s="24"/>
      <c r="M52" s="24"/>
      <c r="N52" s="24"/>
      <c r="O52" s="24">
        <f>621431+2686455-315650-37000</f>
        <v>2955236</v>
      </c>
      <c r="P52" s="23">
        <f t="shared" si="3"/>
        <v>3270886</v>
      </c>
    </row>
    <row r="53" spans="1:18" ht="49.5" customHeight="1" x14ac:dyDescent="0.25">
      <c r="A53" s="49" t="s">
        <v>202</v>
      </c>
      <c r="B53" s="34">
        <v>7540</v>
      </c>
      <c r="C53" s="62" t="s">
        <v>203</v>
      </c>
      <c r="D53" s="63" t="s">
        <v>204</v>
      </c>
      <c r="E53" s="23">
        <f t="shared" si="4"/>
        <v>1078000</v>
      </c>
      <c r="F53" s="39">
        <v>1078000</v>
      </c>
      <c r="G53" s="24"/>
      <c r="H53" s="24"/>
      <c r="I53" s="24"/>
      <c r="J53" s="23">
        <f t="shared" si="5"/>
        <v>0</v>
      </c>
      <c r="K53" s="24"/>
      <c r="L53" s="24"/>
      <c r="M53" s="24"/>
      <c r="N53" s="24"/>
      <c r="O53" s="24"/>
      <c r="P53" s="23">
        <f t="shared" si="3"/>
        <v>1078000</v>
      </c>
    </row>
    <row r="54" spans="1:18" ht="29.25" customHeight="1" x14ac:dyDescent="0.25">
      <c r="A54" s="56" t="s">
        <v>95</v>
      </c>
      <c r="B54" s="6"/>
      <c r="C54" s="7"/>
      <c r="D54" s="8" t="s">
        <v>135</v>
      </c>
      <c r="E54" s="9">
        <f>E55</f>
        <v>37641112</v>
      </c>
      <c r="F54" s="43">
        <f t="shared" ref="F54:O54" si="6">F55</f>
        <v>37639108</v>
      </c>
      <c r="G54" s="9">
        <f t="shared" si="6"/>
        <v>27084829</v>
      </c>
      <c r="H54" s="9">
        <f t="shared" si="6"/>
        <v>1676250</v>
      </c>
      <c r="I54" s="9">
        <f t="shared" si="6"/>
        <v>2004</v>
      </c>
      <c r="J54" s="23">
        <f t="shared" si="5"/>
        <v>12417174</v>
      </c>
      <c r="K54" s="9">
        <f t="shared" si="6"/>
        <v>11630391</v>
      </c>
      <c r="L54" s="9">
        <f t="shared" si="6"/>
        <v>786783</v>
      </c>
      <c r="M54" s="9">
        <f t="shared" si="6"/>
        <v>0</v>
      </c>
      <c r="N54" s="9">
        <f t="shared" si="6"/>
        <v>0</v>
      </c>
      <c r="O54" s="9">
        <f t="shared" si="6"/>
        <v>11630391</v>
      </c>
      <c r="P54" s="9">
        <f>E54+J54</f>
        <v>50058286</v>
      </c>
    </row>
    <row r="55" spans="1:18" ht="29.25" customHeight="1" x14ac:dyDescent="0.25">
      <c r="A55" s="56" t="s">
        <v>96</v>
      </c>
      <c r="B55" s="6"/>
      <c r="C55" s="7"/>
      <c r="D55" s="8" t="s">
        <v>135</v>
      </c>
      <c r="E55" s="9">
        <f>E57+E58+E69+E70+E71+E74+E75+E68+E66+E67+E79+E64+E76+E77+E65+E63+E72+E73+E56</f>
        <v>37641112</v>
      </c>
      <c r="F55" s="9">
        <f>F57+F58+F69+F70+F71+F74+F75+F68+F66+F67+F79+F64+F76+F77+F65+F63+F72+F56</f>
        <v>37639108</v>
      </c>
      <c r="G55" s="9">
        <f>G57+G58+G69+G70+G71+G74+G75+G68+G66+G67+G79+G64+G76+G77+G65+G63+G72+G56</f>
        <v>27084829</v>
      </c>
      <c r="H55" s="9">
        <f>H57+H58+H69+H70+H71+H74+H75+H68+H66+H67+H79+H64+H76+H77+H65+H63+H72+H56</f>
        <v>1676250</v>
      </c>
      <c r="I55" s="9">
        <f>I57+I58+I69+I70+I71+I74+I75+I68+I66+I67+I79+I64+I76+I77+I73+I56</f>
        <v>2004</v>
      </c>
      <c r="J55" s="9">
        <f>J57+J58+J69+J70+J71+J74+J75+J68+J66+J67+J79+J64+J76+J77+J65+J63+J56+J78</f>
        <v>12417174</v>
      </c>
      <c r="K55" s="9">
        <f>K57+K58+K69+K70+K71+K74+K75+K68+K66+K67+K79+K64+K76+K77+K65+K63+K56+K78</f>
        <v>11630391</v>
      </c>
      <c r="L55" s="9">
        <f t="shared" ref="L55:O55" si="7">L57+L58+L69+L70+L71+L74+L75+L68+L66+L67+L79+L64+L76+L77+L65+L63+L56+L78</f>
        <v>786783</v>
      </c>
      <c r="M55" s="9">
        <f t="shared" si="7"/>
        <v>0</v>
      </c>
      <c r="N55" s="9">
        <f t="shared" si="7"/>
        <v>0</v>
      </c>
      <c r="O55" s="9">
        <f t="shared" si="7"/>
        <v>11630391</v>
      </c>
      <c r="P55" s="9">
        <f>E55+J55</f>
        <v>50058286</v>
      </c>
      <c r="R55" s="18"/>
    </row>
    <row r="56" spans="1:18" ht="0.75" customHeight="1" x14ac:dyDescent="0.25">
      <c r="A56" s="57" t="s">
        <v>210</v>
      </c>
      <c r="B56" s="46" t="s">
        <v>27</v>
      </c>
      <c r="C56" s="46" t="s">
        <v>23</v>
      </c>
      <c r="D56" s="22" t="s">
        <v>120</v>
      </c>
      <c r="E56" s="23">
        <f>F56+I56</f>
        <v>0</v>
      </c>
      <c r="F56" s="23"/>
      <c r="G56" s="23"/>
      <c r="H56" s="23"/>
      <c r="I56" s="23"/>
      <c r="J56" s="23">
        <f t="shared" si="5"/>
        <v>0</v>
      </c>
      <c r="K56" s="9"/>
      <c r="L56" s="9"/>
      <c r="M56" s="9"/>
      <c r="N56" s="9"/>
      <c r="O56" s="9"/>
      <c r="P56" s="23">
        <f>E56+J56</f>
        <v>0</v>
      </c>
      <c r="R56" s="18"/>
    </row>
    <row r="57" spans="1:18" x14ac:dyDescent="0.25">
      <c r="A57" s="51" t="s">
        <v>97</v>
      </c>
      <c r="B57" s="20" t="s">
        <v>42</v>
      </c>
      <c r="C57" s="21" t="s">
        <v>98</v>
      </c>
      <c r="D57" s="22" t="s">
        <v>99</v>
      </c>
      <c r="E57" s="23">
        <f>F57+I57</f>
        <v>5118500</v>
      </c>
      <c r="F57" s="39">
        <f>4804153+107000+57747+26000-100000+59000+31800+278000+1000+50000+5800+2500+1000-30000+81500-59100-11900+100000-13000-20000+16100-269100</f>
        <v>5118500</v>
      </c>
      <c r="G57" s="24">
        <f>3401100+107000+130000-59100-10000-59000</f>
        <v>3510000</v>
      </c>
      <c r="H57" s="24">
        <f>324000+8000+81500+16100-153000</f>
        <v>276600</v>
      </c>
      <c r="I57" s="24">
        <v>0</v>
      </c>
      <c r="J57" s="23">
        <f t="shared" si="5"/>
        <v>241000</v>
      </c>
      <c r="K57" s="24">
        <f>15000+70000-3000</f>
        <v>82000</v>
      </c>
      <c r="L57" s="24">
        <v>159000</v>
      </c>
      <c r="M57" s="24">
        <v>0</v>
      </c>
      <c r="N57" s="24">
        <v>0</v>
      </c>
      <c r="O57" s="24">
        <f>15000+70000-3000</f>
        <v>82000</v>
      </c>
      <c r="P57" s="23">
        <f>E57+J57</f>
        <v>5359500</v>
      </c>
    </row>
    <row r="58" spans="1:18" ht="30.75" customHeight="1" x14ac:dyDescent="0.25">
      <c r="A58" s="57" t="s">
        <v>100</v>
      </c>
      <c r="B58" s="20">
        <v>1021</v>
      </c>
      <c r="C58" s="21" t="s">
        <v>101</v>
      </c>
      <c r="D58" s="22" t="s">
        <v>102</v>
      </c>
      <c r="E58" s="23">
        <f>F58+I58</f>
        <v>9077239</v>
      </c>
      <c r="F58" s="39">
        <f>9154200+100000+70000-50000- 210350+25580+122274+13000+19259+13500+15000+8000-319000+150000+53000-68759+6200+8000+117500+48000+6900-100000+180230+42905+50000-378200</f>
        <v>9077239</v>
      </c>
      <c r="G58" s="24">
        <f>5500000-260000-82000+12000</f>
        <v>5170000</v>
      </c>
      <c r="H58" s="24">
        <f>1492000+4500+17700+117500+180230-458000</f>
        <v>1353930</v>
      </c>
      <c r="I58" s="24">
        <v>0</v>
      </c>
      <c r="J58" s="23">
        <f>L58+O58</f>
        <v>1027283</v>
      </c>
      <c r="K58" s="24">
        <f>250000+99000+8000+50000-99000-8000-10500+110000</f>
        <v>399500</v>
      </c>
      <c r="L58" s="24">
        <v>627783</v>
      </c>
      <c r="M58" s="24">
        <f t="shared" ref="M58:N58" si="8">M60+M61+M62</f>
        <v>0</v>
      </c>
      <c r="N58" s="24">
        <f t="shared" si="8"/>
        <v>0</v>
      </c>
      <c r="O58" s="24">
        <f>250000+99000+8000+50000-99000-8000-10500+110000</f>
        <v>399500</v>
      </c>
      <c r="P58" s="23">
        <f>E58+J58</f>
        <v>10104522</v>
      </c>
      <c r="R58" s="18"/>
    </row>
    <row r="59" spans="1:18" ht="66.75" customHeight="1" x14ac:dyDescent="0.25">
      <c r="A59" s="58"/>
      <c r="B59" s="10"/>
      <c r="C59" s="11"/>
      <c r="D59" s="12" t="s">
        <v>103</v>
      </c>
      <c r="E59" s="23">
        <f t="shared" ref="E59:E102" si="9">F59+I59</f>
        <v>999200</v>
      </c>
      <c r="F59" s="42">
        <v>999200</v>
      </c>
      <c r="G59" s="13"/>
      <c r="H59" s="13">
        <v>999200</v>
      </c>
      <c r="I59" s="13"/>
      <c r="J59" s="23">
        <f t="shared" si="5"/>
        <v>0</v>
      </c>
      <c r="K59" s="13"/>
      <c r="L59" s="13"/>
      <c r="M59" s="13"/>
      <c r="N59" s="13"/>
      <c r="O59" s="13"/>
      <c r="P59" s="23">
        <f t="shared" ref="P59:P79" si="10">E59+J59</f>
        <v>999200</v>
      </c>
      <c r="R59" s="18"/>
    </row>
    <row r="60" spans="1:18" ht="56.25" hidden="1" customHeight="1" x14ac:dyDescent="0.25">
      <c r="A60" s="52"/>
      <c r="B60" s="10"/>
      <c r="C60" s="11"/>
      <c r="D60" s="12"/>
      <c r="E60" s="23">
        <f t="shared" si="9"/>
        <v>0</v>
      </c>
      <c r="F60" s="42"/>
      <c r="G60" s="13"/>
      <c r="H60" s="13"/>
      <c r="I60" s="13"/>
      <c r="J60" s="23">
        <f t="shared" si="5"/>
        <v>0</v>
      </c>
      <c r="K60" s="13"/>
      <c r="L60" s="13"/>
      <c r="M60" s="13"/>
      <c r="N60" s="13"/>
      <c r="O60" s="13"/>
      <c r="P60" s="23">
        <f t="shared" si="10"/>
        <v>0</v>
      </c>
    </row>
    <row r="61" spans="1:18" ht="56.25" customHeight="1" x14ac:dyDescent="0.25">
      <c r="A61" s="52"/>
      <c r="B61" s="10"/>
      <c r="C61" s="11"/>
      <c r="D61" s="12" t="s">
        <v>189</v>
      </c>
      <c r="E61" s="23">
        <f t="shared" si="9"/>
        <v>0</v>
      </c>
      <c r="F61" s="42"/>
      <c r="G61" s="13"/>
      <c r="H61" s="13"/>
      <c r="I61" s="13"/>
      <c r="J61" s="23">
        <f t="shared" si="5"/>
        <v>250000</v>
      </c>
      <c r="K61" s="13">
        <v>250000</v>
      </c>
      <c r="L61" s="13"/>
      <c r="M61" s="13"/>
      <c r="N61" s="13"/>
      <c r="O61" s="13">
        <v>250000</v>
      </c>
      <c r="P61" s="23">
        <f t="shared" si="10"/>
        <v>250000</v>
      </c>
    </row>
    <row r="62" spans="1:18" ht="56.25" customHeight="1" x14ac:dyDescent="0.25">
      <c r="A62" s="52"/>
      <c r="B62" s="10"/>
      <c r="C62" s="11"/>
      <c r="D62" s="12" t="s">
        <v>191</v>
      </c>
      <c r="E62" s="23">
        <f t="shared" si="9"/>
        <v>0</v>
      </c>
      <c r="F62" s="42">
        <f>13000+19259+13500+15000+8000-68759</f>
        <v>0</v>
      </c>
      <c r="G62" s="13"/>
      <c r="H62" s="13"/>
      <c r="I62" s="13"/>
      <c r="J62" s="23">
        <f t="shared" si="5"/>
        <v>0</v>
      </c>
      <c r="K62" s="13">
        <f>54000+45000-99000</f>
        <v>0</v>
      </c>
      <c r="L62" s="13"/>
      <c r="M62" s="13"/>
      <c r="N62" s="13"/>
      <c r="O62" s="13">
        <f>54000+45000-99000</f>
        <v>0</v>
      </c>
      <c r="P62" s="23">
        <f t="shared" si="10"/>
        <v>0</v>
      </c>
    </row>
    <row r="63" spans="1:18" ht="56.25" customHeight="1" x14ac:dyDescent="0.25">
      <c r="A63" s="64" t="s">
        <v>205</v>
      </c>
      <c r="B63" s="10">
        <v>1061</v>
      </c>
      <c r="C63" s="61" t="s">
        <v>101</v>
      </c>
      <c r="D63" s="22" t="s">
        <v>102</v>
      </c>
      <c r="E63" s="23">
        <f t="shared" si="9"/>
        <v>118971</v>
      </c>
      <c r="F63" s="42">
        <f>103171+10000+5800</f>
        <v>118971</v>
      </c>
      <c r="G63" s="13"/>
      <c r="H63" s="13"/>
      <c r="I63" s="13"/>
      <c r="J63" s="23">
        <f t="shared" si="5"/>
        <v>71088</v>
      </c>
      <c r="K63" s="13">
        <v>71088</v>
      </c>
      <c r="L63" s="13"/>
      <c r="M63" s="13"/>
      <c r="N63" s="13"/>
      <c r="O63" s="13">
        <v>71088</v>
      </c>
      <c r="P63" s="23">
        <f>E63+J63</f>
        <v>190059</v>
      </c>
    </row>
    <row r="64" spans="1:18" ht="62.25" customHeight="1" x14ac:dyDescent="0.25">
      <c r="A64" s="57" t="s">
        <v>199</v>
      </c>
      <c r="B64" s="20">
        <v>1181</v>
      </c>
      <c r="C64" s="25" t="s">
        <v>106</v>
      </c>
      <c r="D64" s="22" t="s">
        <v>200</v>
      </c>
      <c r="E64" s="23">
        <f t="shared" si="9"/>
        <v>0</v>
      </c>
      <c r="F64" s="42">
        <f>17207+11560-28767</f>
        <v>0</v>
      </c>
      <c r="G64" s="13"/>
      <c r="H64" s="13"/>
      <c r="I64" s="13"/>
      <c r="J64" s="23">
        <f t="shared" si="5"/>
        <v>28937</v>
      </c>
      <c r="K64" s="13">
        <f>28767+170</f>
        <v>28937</v>
      </c>
      <c r="L64" s="13"/>
      <c r="M64" s="13"/>
      <c r="N64" s="13"/>
      <c r="O64" s="13">
        <v>28937</v>
      </c>
      <c r="P64" s="23">
        <f t="shared" si="10"/>
        <v>28937</v>
      </c>
    </row>
    <row r="65" spans="1:16" ht="62.25" customHeight="1" x14ac:dyDescent="0.25">
      <c r="A65" s="57" t="s">
        <v>213</v>
      </c>
      <c r="B65" s="20">
        <v>1182</v>
      </c>
      <c r="C65" s="25" t="s">
        <v>106</v>
      </c>
      <c r="D65" s="22" t="s">
        <v>201</v>
      </c>
      <c r="E65" s="23">
        <f t="shared" si="9"/>
        <v>72734</v>
      </c>
      <c r="F65" s="42">
        <v>72734</v>
      </c>
      <c r="G65" s="13"/>
      <c r="H65" s="13"/>
      <c r="I65" s="13"/>
      <c r="J65" s="23">
        <f t="shared" si="5"/>
        <v>260432</v>
      </c>
      <c r="K65" s="13">
        <v>260432</v>
      </c>
      <c r="L65" s="13"/>
      <c r="M65" s="13"/>
      <c r="N65" s="13"/>
      <c r="O65" s="13">
        <v>260432</v>
      </c>
      <c r="P65" s="23">
        <f t="shared" si="10"/>
        <v>333166</v>
      </c>
    </row>
    <row r="66" spans="1:16" ht="56.25" customHeight="1" x14ac:dyDescent="0.25">
      <c r="A66" s="57" t="s">
        <v>154</v>
      </c>
      <c r="B66" s="20">
        <v>1200</v>
      </c>
      <c r="C66" s="25" t="s">
        <v>106</v>
      </c>
      <c r="D66" s="22" t="s">
        <v>155</v>
      </c>
      <c r="E66" s="23">
        <f t="shared" si="9"/>
        <v>35224</v>
      </c>
      <c r="F66" s="42">
        <f>35224</f>
        <v>35224</v>
      </c>
      <c r="G66" s="13"/>
      <c r="H66" s="13"/>
      <c r="I66" s="13"/>
      <c r="J66" s="23">
        <f t="shared" si="5"/>
        <v>17874</v>
      </c>
      <c r="K66" s="13">
        <f>17874</f>
        <v>17874</v>
      </c>
      <c r="L66" s="13"/>
      <c r="M66" s="13"/>
      <c r="N66" s="13"/>
      <c r="O66" s="13">
        <f>17874</f>
        <v>17874</v>
      </c>
      <c r="P66" s="23">
        <f t="shared" si="10"/>
        <v>53098</v>
      </c>
    </row>
    <row r="67" spans="1:16" ht="56.25" customHeight="1" x14ac:dyDescent="0.25">
      <c r="A67" s="53" t="s">
        <v>174</v>
      </c>
      <c r="B67" s="20">
        <v>1210</v>
      </c>
      <c r="C67" s="46" t="s">
        <v>106</v>
      </c>
      <c r="D67" s="22" t="s">
        <v>173</v>
      </c>
      <c r="E67" s="23">
        <f t="shared" si="9"/>
        <v>20052</v>
      </c>
      <c r="F67" s="42">
        <v>20052</v>
      </c>
      <c r="G67" s="13"/>
      <c r="H67" s="13"/>
      <c r="I67" s="13"/>
      <c r="J67" s="23">
        <f t="shared" si="5"/>
        <v>16646</v>
      </c>
      <c r="K67" s="13">
        <v>16646</v>
      </c>
      <c r="L67" s="13"/>
      <c r="M67" s="13"/>
      <c r="N67" s="13"/>
      <c r="O67" s="13">
        <v>16646</v>
      </c>
      <c r="P67" s="23">
        <f t="shared" si="10"/>
        <v>36698</v>
      </c>
    </row>
    <row r="68" spans="1:16" ht="27.75" customHeight="1" x14ac:dyDescent="0.25">
      <c r="A68" s="57" t="s">
        <v>104</v>
      </c>
      <c r="B68" s="20">
        <v>1031</v>
      </c>
      <c r="C68" s="21" t="s">
        <v>101</v>
      </c>
      <c r="D68" s="22" t="s">
        <v>138</v>
      </c>
      <c r="E68" s="23">
        <f t="shared" si="9"/>
        <v>20259200</v>
      </c>
      <c r="F68" s="39">
        <v>20259200</v>
      </c>
      <c r="G68" s="24">
        <v>16600000</v>
      </c>
      <c r="H68" s="24"/>
      <c r="I68" s="24"/>
      <c r="J68" s="23">
        <f t="shared" si="5"/>
        <v>0</v>
      </c>
      <c r="K68" s="24"/>
      <c r="L68" s="24"/>
      <c r="M68" s="24"/>
      <c r="N68" s="24"/>
      <c r="O68" s="24"/>
      <c r="P68" s="23">
        <f t="shared" si="10"/>
        <v>20259200</v>
      </c>
    </row>
    <row r="69" spans="1:16" ht="46.5" hidden="1" customHeight="1" x14ac:dyDescent="0.25">
      <c r="A69" s="51"/>
      <c r="B69" s="20"/>
      <c r="C69" s="21"/>
      <c r="D69" s="22"/>
      <c r="E69" s="23">
        <f t="shared" si="9"/>
        <v>0</v>
      </c>
      <c r="F69" s="39"/>
      <c r="G69" s="24"/>
      <c r="H69" s="24"/>
      <c r="I69" s="24">
        <v>0</v>
      </c>
      <c r="J69" s="23">
        <f t="shared" si="5"/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3">
        <f t="shared" si="10"/>
        <v>0</v>
      </c>
    </row>
    <row r="70" spans="1:16" hidden="1" x14ac:dyDescent="0.25">
      <c r="A70" s="51"/>
      <c r="B70" s="20"/>
      <c r="C70" s="21"/>
      <c r="D70" s="22"/>
      <c r="E70" s="23">
        <f t="shared" si="9"/>
        <v>0</v>
      </c>
      <c r="F70" s="39"/>
      <c r="G70" s="24"/>
      <c r="H70" s="24"/>
      <c r="I70" s="24">
        <v>0</v>
      </c>
      <c r="J70" s="23">
        <f t="shared" si="5"/>
        <v>0</v>
      </c>
      <c r="K70" s="24">
        <v>0</v>
      </c>
      <c r="L70" s="24"/>
      <c r="M70" s="24">
        <v>0</v>
      </c>
      <c r="N70" s="24">
        <v>0</v>
      </c>
      <c r="O70" s="24">
        <v>0</v>
      </c>
      <c r="P70" s="23">
        <f t="shared" si="10"/>
        <v>0</v>
      </c>
    </row>
    <row r="71" spans="1:16" ht="25.5" x14ac:dyDescent="0.25">
      <c r="A71" s="51" t="s">
        <v>105</v>
      </c>
      <c r="B71" s="20">
        <v>1141</v>
      </c>
      <c r="C71" s="21" t="s">
        <v>106</v>
      </c>
      <c r="D71" s="22" t="s">
        <v>107</v>
      </c>
      <c r="E71" s="23">
        <f t="shared" si="9"/>
        <v>1005983</v>
      </c>
      <c r="F71" s="39">
        <f>816213+11800+2000+73200+2500+5500+32000-3000+52200+11900+1670</f>
        <v>1005983</v>
      </c>
      <c r="G71" s="24">
        <f>584601+60000+52200</f>
        <v>696801</v>
      </c>
      <c r="H71" s="24">
        <f>33000-30000-3000</f>
        <v>0</v>
      </c>
      <c r="I71" s="24">
        <v>0</v>
      </c>
      <c r="J71" s="23">
        <f t="shared" si="5"/>
        <v>8000</v>
      </c>
      <c r="K71" s="24">
        <v>8000</v>
      </c>
      <c r="L71" s="24">
        <v>0</v>
      </c>
      <c r="M71" s="24">
        <v>0</v>
      </c>
      <c r="N71" s="24">
        <v>0</v>
      </c>
      <c r="O71" s="24">
        <v>8000</v>
      </c>
      <c r="P71" s="23">
        <f t="shared" si="10"/>
        <v>1013983</v>
      </c>
    </row>
    <row r="72" spans="1:16" x14ac:dyDescent="0.25">
      <c r="A72" s="57" t="s">
        <v>206</v>
      </c>
      <c r="B72" s="25" t="s">
        <v>207</v>
      </c>
      <c r="C72" s="25" t="s">
        <v>106</v>
      </c>
      <c r="D72" s="22" t="s">
        <v>208</v>
      </c>
      <c r="E72" s="23">
        <f t="shared" si="9"/>
        <v>1810</v>
      </c>
      <c r="F72" s="39">
        <f>1800+10</f>
        <v>1810</v>
      </c>
      <c r="G72" s="24"/>
      <c r="H72" s="24"/>
      <c r="I72" s="24"/>
      <c r="J72" s="23">
        <f t="shared" si="5"/>
        <v>0</v>
      </c>
      <c r="K72" s="24"/>
      <c r="L72" s="24"/>
      <c r="M72" s="24"/>
      <c r="N72" s="24"/>
      <c r="O72" s="24"/>
      <c r="P72" s="23">
        <f t="shared" si="10"/>
        <v>1810</v>
      </c>
    </row>
    <row r="73" spans="1:16" x14ac:dyDescent="0.25">
      <c r="A73" s="57" t="s">
        <v>209</v>
      </c>
      <c r="B73" s="20" t="s">
        <v>127</v>
      </c>
      <c r="C73" s="21" t="s">
        <v>25</v>
      </c>
      <c r="D73" s="22" t="s">
        <v>128</v>
      </c>
      <c r="E73" s="23">
        <f t="shared" si="9"/>
        <v>2004</v>
      </c>
      <c r="F73" s="39"/>
      <c r="G73" s="24"/>
      <c r="H73" s="24"/>
      <c r="I73" s="24">
        <v>2004</v>
      </c>
      <c r="J73" s="23">
        <f t="shared" si="5"/>
        <v>0</v>
      </c>
      <c r="K73" s="24"/>
      <c r="L73" s="24"/>
      <c r="M73" s="24"/>
      <c r="N73" s="24"/>
      <c r="O73" s="24"/>
      <c r="P73" s="23">
        <f t="shared" si="10"/>
        <v>2004</v>
      </c>
    </row>
    <row r="74" spans="1:16" ht="21" customHeight="1" x14ac:dyDescent="0.25">
      <c r="A74" s="51" t="s">
        <v>108</v>
      </c>
      <c r="B74" s="20" t="s">
        <v>109</v>
      </c>
      <c r="C74" s="21" t="s">
        <v>110</v>
      </c>
      <c r="D74" s="22" t="s">
        <v>111</v>
      </c>
      <c r="E74" s="23">
        <f t="shared" si="9"/>
        <v>873786</v>
      </c>
      <c r="F74" s="39">
        <f>679810+140056+6600+36000+37500+370-15750-10800</f>
        <v>873786</v>
      </c>
      <c r="G74" s="24">
        <f>533820+114800+36000-10800</f>
        <v>673820</v>
      </c>
      <c r="H74" s="24">
        <f>26750+4100+370-15750</f>
        <v>15470</v>
      </c>
      <c r="I74" s="24">
        <v>0</v>
      </c>
      <c r="J74" s="23">
        <f t="shared" si="5"/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3">
        <f t="shared" si="10"/>
        <v>873786</v>
      </c>
    </row>
    <row r="75" spans="1:16" ht="41.25" customHeight="1" x14ac:dyDescent="0.25">
      <c r="A75" s="51" t="s">
        <v>112</v>
      </c>
      <c r="B75" s="20" t="s">
        <v>113</v>
      </c>
      <c r="C75" s="21" t="s">
        <v>114</v>
      </c>
      <c r="D75" s="22" t="s">
        <v>115</v>
      </c>
      <c r="E75" s="23">
        <f t="shared" si="9"/>
        <v>834404</v>
      </c>
      <c r="F75" s="39">
        <f>681004-73200-6600+98000+40000+16700+63200+10000+2300-7800+10800</f>
        <v>834404</v>
      </c>
      <c r="G75" s="24">
        <f>525208-60000-41000+10000</f>
        <v>434208</v>
      </c>
      <c r="H75" s="24">
        <f>20250+7700+2300</f>
        <v>30250</v>
      </c>
      <c r="I75" s="24">
        <v>0</v>
      </c>
      <c r="J75" s="23">
        <f t="shared" si="5"/>
        <v>16600</v>
      </c>
      <c r="K75" s="24">
        <v>16600</v>
      </c>
      <c r="L75" s="24">
        <v>0</v>
      </c>
      <c r="M75" s="24">
        <v>0</v>
      </c>
      <c r="N75" s="24">
        <v>0</v>
      </c>
      <c r="O75" s="24">
        <v>16600</v>
      </c>
      <c r="P75" s="23">
        <f t="shared" si="10"/>
        <v>851004</v>
      </c>
    </row>
    <row r="76" spans="1:16" ht="41.25" customHeight="1" x14ac:dyDescent="0.25">
      <c r="A76" s="57" t="s">
        <v>198</v>
      </c>
      <c r="B76" s="20">
        <v>7321</v>
      </c>
      <c r="C76" s="25" t="s">
        <v>74</v>
      </c>
      <c r="D76" s="22" t="s">
        <v>197</v>
      </c>
      <c r="E76" s="23">
        <f t="shared" si="9"/>
        <v>0</v>
      </c>
      <c r="F76" s="39"/>
      <c r="G76" s="24"/>
      <c r="H76" s="24"/>
      <c r="I76" s="24"/>
      <c r="J76" s="23">
        <f t="shared" si="5"/>
        <v>2485511</v>
      </c>
      <c r="K76" s="24">
        <f>900000+1585511</f>
        <v>2485511</v>
      </c>
      <c r="L76" s="24"/>
      <c r="M76" s="24"/>
      <c r="N76" s="24"/>
      <c r="O76" s="24">
        <f>900000+1585511</f>
        <v>2485511</v>
      </c>
      <c r="P76" s="23">
        <f t="shared" si="10"/>
        <v>2485511</v>
      </c>
    </row>
    <row r="77" spans="1:16" ht="41.25" customHeight="1" x14ac:dyDescent="0.25">
      <c r="A77" s="57" t="s">
        <v>182</v>
      </c>
      <c r="B77" s="20">
        <v>7361</v>
      </c>
      <c r="C77" s="25" t="s">
        <v>81</v>
      </c>
      <c r="D77" s="22" t="s">
        <v>183</v>
      </c>
      <c r="E77" s="23">
        <f t="shared" si="9"/>
        <v>0</v>
      </c>
      <c r="F77" s="39"/>
      <c r="G77" s="24"/>
      <c r="H77" s="24"/>
      <c r="I77" s="24"/>
      <c r="J77" s="23">
        <f t="shared" si="5"/>
        <v>1693803</v>
      </c>
      <c r="K77" s="24">
        <f>1943803+550000-550000-250000</f>
        <v>1693803</v>
      </c>
      <c r="L77" s="24"/>
      <c r="M77" s="24"/>
      <c r="N77" s="24"/>
      <c r="O77" s="24">
        <f>1943803+550000-550000-250000</f>
        <v>1693803</v>
      </c>
      <c r="P77" s="23">
        <f t="shared" si="10"/>
        <v>1693803</v>
      </c>
    </row>
    <row r="78" spans="1:16" ht="41.25" customHeight="1" x14ac:dyDescent="0.25">
      <c r="A78" s="57" t="s">
        <v>211</v>
      </c>
      <c r="B78" s="20">
        <v>7363</v>
      </c>
      <c r="C78" s="25" t="s">
        <v>81</v>
      </c>
      <c r="D78" s="65" t="s">
        <v>212</v>
      </c>
      <c r="E78" s="23">
        <f t="shared" si="9"/>
        <v>0</v>
      </c>
      <c r="F78" s="39"/>
      <c r="G78" s="24"/>
      <c r="H78" s="24"/>
      <c r="I78" s="24"/>
      <c r="J78" s="23">
        <f t="shared" si="5"/>
        <v>6000000</v>
      </c>
      <c r="K78" s="24">
        <v>6000000</v>
      </c>
      <c r="L78" s="24"/>
      <c r="M78" s="24"/>
      <c r="N78" s="24"/>
      <c r="O78" s="24">
        <v>6000000</v>
      </c>
      <c r="P78" s="23">
        <f t="shared" si="10"/>
        <v>6000000</v>
      </c>
    </row>
    <row r="79" spans="1:16" ht="33.75" customHeight="1" x14ac:dyDescent="0.25">
      <c r="A79" s="55" t="s">
        <v>186</v>
      </c>
      <c r="B79" s="34">
        <v>7370</v>
      </c>
      <c r="C79" s="41" t="s">
        <v>81</v>
      </c>
      <c r="D79" s="37" t="s">
        <v>187</v>
      </c>
      <c r="E79" s="23">
        <f t="shared" si="9"/>
        <v>221205</v>
      </c>
      <c r="F79" s="39">
        <f>99100+50000+22105+150000-100000</f>
        <v>221205</v>
      </c>
      <c r="G79" s="24">
        <v>0</v>
      </c>
      <c r="H79" s="24">
        <v>0</v>
      </c>
      <c r="I79" s="24">
        <v>0</v>
      </c>
      <c r="J79" s="23">
        <f>L79+O79</f>
        <v>550000</v>
      </c>
      <c r="K79" s="24">
        <v>550000</v>
      </c>
      <c r="L79" s="24">
        <v>0</v>
      </c>
      <c r="M79" s="24">
        <v>0</v>
      </c>
      <c r="N79" s="24">
        <v>0</v>
      </c>
      <c r="O79" s="24">
        <v>550000</v>
      </c>
      <c r="P79" s="23">
        <f t="shared" si="10"/>
        <v>771205</v>
      </c>
    </row>
    <row r="80" spans="1:16" ht="24.75" customHeight="1" x14ac:dyDescent="0.25">
      <c r="A80" s="55" t="s">
        <v>156</v>
      </c>
      <c r="B80" s="34"/>
      <c r="C80" s="35"/>
      <c r="D80" s="45" t="s">
        <v>157</v>
      </c>
      <c r="E80" s="23">
        <f>E81</f>
        <v>1523261</v>
      </c>
      <c r="F80" s="23">
        <f t="shared" ref="F80:O80" si="11">F81</f>
        <v>631201</v>
      </c>
      <c r="G80" s="23">
        <f t="shared" si="11"/>
        <v>298400</v>
      </c>
      <c r="H80" s="23">
        <f t="shared" si="11"/>
        <v>0</v>
      </c>
      <c r="I80" s="23">
        <f t="shared" si="11"/>
        <v>0</v>
      </c>
      <c r="J80" s="23">
        <f t="shared" si="11"/>
        <v>0</v>
      </c>
      <c r="K80" s="23">
        <f t="shared" si="11"/>
        <v>0</v>
      </c>
      <c r="L80" s="23">
        <f t="shared" si="11"/>
        <v>0</v>
      </c>
      <c r="M80" s="23">
        <f t="shared" si="11"/>
        <v>0</v>
      </c>
      <c r="N80" s="23">
        <f t="shared" si="11"/>
        <v>0</v>
      </c>
      <c r="O80" s="23">
        <f t="shared" si="11"/>
        <v>0</v>
      </c>
      <c r="P80" s="23">
        <f t="shared" ref="P80" si="12">P81</f>
        <v>1520972</v>
      </c>
    </row>
    <row r="81" spans="1:16" ht="26.25" customHeight="1" x14ac:dyDescent="0.25">
      <c r="A81" s="55" t="s">
        <v>158</v>
      </c>
      <c r="B81" s="34"/>
      <c r="C81" s="35"/>
      <c r="D81" s="45" t="s">
        <v>159</v>
      </c>
      <c r="E81" s="23">
        <f>E82+E84+E85+E86+E88+E91+E92+E94+E95+E99+E83+E90</f>
        <v>1523261</v>
      </c>
      <c r="F81" s="23">
        <f>F82+F84+F85+F86+F88+F91+F92+F94+F95+F99++F90</f>
        <v>631201</v>
      </c>
      <c r="G81" s="23">
        <f>G82+G84+G85+G86+G88+G91+G92+G94+G95+G99+G90</f>
        <v>298400</v>
      </c>
      <c r="H81" s="23">
        <f t="shared" ref="H81:O81" si="13">H82+H84+H85+H86+H88+H91+H92+H94+H95+H99</f>
        <v>0</v>
      </c>
      <c r="I81" s="23">
        <f t="shared" si="13"/>
        <v>0</v>
      </c>
      <c r="J81" s="23">
        <f>J82+J84+J85+J86+J88+J91+J92+J94+J95+J99+J83</f>
        <v>0</v>
      </c>
      <c r="K81" s="23">
        <f>K82+K83</f>
        <v>0</v>
      </c>
      <c r="L81" s="23">
        <f t="shared" si="13"/>
        <v>0</v>
      </c>
      <c r="M81" s="23">
        <f t="shared" si="13"/>
        <v>0</v>
      </c>
      <c r="N81" s="23">
        <f t="shared" si="13"/>
        <v>0</v>
      </c>
      <c r="O81" s="23">
        <f t="shared" si="13"/>
        <v>0</v>
      </c>
      <c r="P81" s="23">
        <f>P82+P84+P85+P86+P88+P91+P92+P94+P95+P99+P83</f>
        <v>1520972</v>
      </c>
    </row>
    <row r="82" spans="1:16" ht="41.25" customHeight="1" x14ac:dyDescent="0.25">
      <c r="A82" s="55" t="s">
        <v>160</v>
      </c>
      <c r="B82" s="41" t="s">
        <v>27</v>
      </c>
      <c r="C82" s="41" t="s">
        <v>23</v>
      </c>
      <c r="D82" s="37" t="s">
        <v>120</v>
      </c>
      <c r="E82" s="23">
        <f>F82+I82</f>
        <v>372848</v>
      </c>
      <c r="F82" s="39">
        <f>539484-35136-91500+9000+4000-40000-9000-4000</f>
        <v>372848</v>
      </c>
      <c r="G82" s="24">
        <f>442200-28800-75000-40000</f>
        <v>298400</v>
      </c>
      <c r="H82" s="24"/>
      <c r="I82" s="24"/>
      <c r="J82" s="23">
        <f>L82+O82</f>
        <v>0</v>
      </c>
      <c r="K82" s="24"/>
      <c r="L82" s="24"/>
      <c r="M82" s="24"/>
      <c r="N82" s="24"/>
      <c r="O82" s="24"/>
      <c r="P82" s="23">
        <f>E82+J82</f>
        <v>372848</v>
      </c>
    </row>
    <row r="83" spans="1:16" ht="50.25" customHeight="1" x14ac:dyDescent="0.25">
      <c r="A83" s="49" t="s">
        <v>175</v>
      </c>
      <c r="B83" s="33" t="s">
        <v>176</v>
      </c>
      <c r="C83" s="33" t="s">
        <v>177</v>
      </c>
      <c r="D83" s="36" t="s">
        <v>178</v>
      </c>
      <c r="E83" s="23">
        <f>F83+I83</f>
        <v>892060</v>
      </c>
      <c r="F83" s="39">
        <f>316224+35136+374300+69000+19000+78400</f>
        <v>892060</v>
      </c>
      <c r="G83" s="24">
        <f>288000+306500+30000+54000</f>
        <v>678500</v>
      </c>
      <c r="H83" s="24"/>
      <c r="I83" s="24"/>
      <c r="J83" s="23">
        <f>L83+O83</f>
        <v>0</v>
      </c>
      <c r="K83" s="24"/>
      <c r="L83" s="24"/>
      <c r="M83" s="24"/>
      <c r="N83" s="24"/>
      <c r="O83" s="24"/>
      <c r="P83" s="23">
        <f>E83+J83</f>
        <v>892060</v>
      </c>
    </row>
    <row r="84" spans="1:16" ht="41.25" customHeight="1" x14ac:dyDescent="0.25">
      <c r="A84" s="49" t="s">
        <v>163</v>
      </c>
      <c r="B84" s="34">
        <v>3032</v>
      </c>
      <c r="C84" s="41">
        <v>1070</v>
      </c>
      <c r="D84" s="36" t="s">
        <v>146</v>
      </c>
      <c r="E84" s="23">
        <f>F84+I84</f>
        <v>2126</v>
      </c>
      <c r="F84" s="39">
        <v>2126</v>
      </c>
      <c r="G84" s="24"/>
      <c r="H84" s="24"/>
      <c r="I84" s="24"/>
      <c r="J84" s="23">
        <f t="shared" ref="J84:J99" si="14">L84+O84</f>
        <v>0</v>
      </c>
      <c r="K84" s="24"/>
      <c r="L84" s="24"/>
      <c r="M84" s="24"/>
      <c r="N84" s="24"/>
      <c r="O84" s="24"/>
      <c r="P84" s="23">
        <f t="shared" ref="P84:P99" si="15">E84+J84</f>
        <v>2126</v>
      </c>
    </row>
    <row r="85" spans="1:16" ht="41.25" customHeight="1" x14ac:dyDescent="0.25">
      <c r="A85" s="50" t="s">
        <v>164</v>
      </c>
      <c r="B85" s="34" t="s">
        <v>28</v>
      </c>
      <c r="C85" s="35" t="s">
        <v>29</v>
      </c>
      <c r="D85" s="37" t="s">
        <v>30</v>
      </c>
      <c r="E85" s="23">
        <f t="shared" ref="E85:E99" si="16">F85+I85</f>
        <v>77000</v>
      </c>
      <c r="F85" s="39">
        <f>27000+50000</f>
        <v>77000</v>
      </c>
      <c r="G85" s="24"/>
      <c r="H85" s="24"/>
      <c r="I85" s="24"/>
      <c r="J85" s="23">
        <f t="shared" si="14"/>
        <v>0</v>
      </c>
      <c r="K85" s="24"/>
      <c r="L85" s="24"/>
      <c r="M85" s="24"/>
      <c r="N85" s="24"/>
      <c r="O85" s="24"/>
      <c r="P85" s="23">
        <f t="shared" si="15"/>
        <v>77000</v>
      </c>
    </row>
    <row r="86" spans="1:16" ht="41.25" customHeight="1" x14ac:dyDescent="0.25">
      <c r="A86" s="51" t="s">
        <v>165</v>
      </c>
      <c r="B86" s="20" t="s">
        <v>32</v>
      </c>
      <c r="C86" s="21" t="s">
        <v>29</v>
      </c>
      <c r="D86" s="22" t="s">
        <v>33</v>
      </c>
      <c r="E86" s="23">
        <f t="shared" si="16"/>
        <v>1100</v>
      </c>
      <c r="F86" s="39">
        <f>3150-1050-1000</f>
        <v>1100</v>
      </c>
      <c r="G86" s="24"/>
      <c r="H86" s="24"/>
      <c r="I86" s="24"/>
      <c r="J86" s="23">
        <f t="shared" si="14"/>
        <v>0</v>
      </c>
      <c r="K86" s="24"/>
      <c r="L86" s="24"/>
      <c r="M86" s="24"/>
      <c r="N86" s="24"/>
      <c r="O86" s="24"/>
      <c r="P86" s="23">
        <f t="shared" si="15"/>
        <v>1100</v>
      </c>
    </row>
    <row r="87" spans="1:16" ht="52.5" customHeight="1" x14ac:dyDescent="0.25">
      <c r="A87" s="52"/>
      <c r="B87" s="10"/>
      <c r="C87" s="11"/>
      <c r="D87" s="12" t="s">
        <v>34</v>
      </c>
      <c r="E87" s="23">
        <f t="shared" si="16"/>
        <v>1100</v>
      </c>
      <c r="F87" s="42">
        <f>2100-1000</f>
        <v>1100</v>
      </c>
      <c r="G87" s="24"/>
      <c r="H87" s="24"/>
      <c r="I87" s="24"/>
      <c r="J87" s="23">
        <f t="shared" si="14"/>
        <v>0</v>
      </c>
      <c r="K87" s="24"/>
      <c r="L87" s="24"/>
      <c r="M87" s="24"/>
      <c r="N87" s="24"/>
      <c r="O87" s="24"/>
      <c r="P87" s="23">
        <f t="shared" si="15"/>
        <v>1100</v>
      </c>
    </row>
    <row r="88" spans="1:16" ht="41.25" customHeight="1" x14ac:dyDescent="0.25">
      <c r="A88" s="51" t="s">
        <v>166</v>
      </c>
      <c r="B88" s="20" t="s">
        <v>36</v>
      </c>
      <c r="C88" s="21" t="s">
        <v>37</v>
      </c>
      <c r="D88" s="22" t="s">
        <v>38</v>
      </c>
      <c r="E88" s="23">
        <f t="shared" si="16"/>
        <v>3538</v>
      </c>
      <c r="F88" s="39">
        <f>5400-1800-62</f>
        <v>3538</v>
      </c>
      <c r="G88" s="24"/>
      <c r="H88" s="24"/>
      <c r="I88" s="24"/>
      <c r="J88" s="23">
        <f t="shared" si="14"/>
        <v>0</v>
      </c>
      <c r="K88" s="24"/>
      <c r="L88" s="24"/>
      <c r="M88" s="24"/>
      <c r="N88" s="24"/>
      <c r="O88" s="24"/>
      <c r="P88" s="23">
        <f t="shared" si="15"/>
        <v>3538</v>
      </c>
    </row>
    <row r="89" spans="1:16" ht="66" customHeight="1" x14ac:dyDescent="0.25">
      <c r="A89" s="51"/>
      <c r="B89" s="20"/>
      <c r="C89" s="21"/>
      <c r="D89" s="12" t="s">
        <v>39</v>
      </c>
      <c r="E89" s="23">
        <f t="shared" si="16"/>
        <v>3538</v>
      </c>
      <c r="F89" s="42">
        <f>3600-62</f>
        <v>3538</v>
      </c>
      <c r="G89" s="24"/>
      <c r="H89" s="24"/>
      <c r="I89" s="24"/>
      <c r="J89" s="23">
        <f t="shared" si="14"/>
        <v>0</v>
      </c>
      <c r="K89" s="24"/>
      <c r="L89" s="24"/>
      <c r="M89" s="24"/>
      <c r="N89" s="24"/>
      <c r="O89" s="24"/>
      <c r="P89" s="23">
        <f t="shared" si="15"/>
        <v>3538</v>
      </c>
    </row>
    <row r="90" spans="1:16" ht="43.5" customHeight="1" x14ac:dyDescent="0.25">
      <c r="A90" s="57" t="s">
        <v>215</v>
      </c>
      <c r="B90" s="25" t="s">
        <v>36</v>
      </c>
      <c r="C90" s="25" t="s">
        <v>216</v>
      </c>
      <c r="D90" s="66" t="s">
        <v>217</v>
      </c>
      <c r="E90" s="23">
        <f t="shared" si="16"/>
        <v>2289</v>
      </c>
      <c r="F90" s="42">
        <v>2289</v>
      </c>
      <c r="G90" s="24"/>
      <c r="H90" s="24"/>
      <c r="I90" s="24"/>
      <c r="J90" s="23"/>
      <c r="K90" s="24"/>
      <c r="L90" s="24"/>
      <c r="M90" s="24"/>
      <c r="N90" s="24"/>
      <c r="O90" s="24"/>
      <c r="P90" s="23">
        <f t="shared" si="15"/>
        <v>2289</v>
      </c>
    </row>
    <row r="91" spans="1:16" ht="71.25" customHeight="1" x14ac:dyDescent="0.25">
      <c r="A91" s="53" t="s">
        <v>167</v>
      </c>
      <c r="B91" s="25" t="s">
        <v>147</v>
      </c>
      <c r="C91" s="25" t="s">
        <v>42</v>
      </c>
      <c r="D91" s="12" t="s">
        <v>148</v>
      </c>
      <c r="E91" s="23">
        <f t="shared" si="16"/>
        <v>111100</v>
      </c>
      <c r="F91" s="42">
        <f>39000+72100</f>
        <v>111100</v>
      </c>
      <c r="G91" s="24"/>
      <c r="H91" s="24"/>
      <c r="I91" s="24"/>
      <c r="J91" s="23">
        <f t="shared" si="14"/>
        <v>0</v>
      </c>
      <c r="K91" s="24"/>
      <c r="L91" s="24"/>
      <c r="M91" s="24"/>
      <c r="N91" s="24"/>
      <c r="O91" s="24"/>
      <c r="P91" s="23">
        <f t="shared" si="15"/>
        <v>111100</v>
      </c>
    </row>
    <row r="92" spans="1:16" ht="54.75" customHeight="1" x14ac:dyDescent="0.25">
      <c r="A92" s="51" t="s">
        <v>168</v>
      </c>
      <c r="B92" s="20" t="s">
        <v>41</v>
      </c>
      <c r="C92" s="21" t="s">
        <v>42</v>
      </c>
      <c r="D92" s="22" t="s">
        <v>43</v>
      </c>
      <c r="E92" s="23">
        <f t="shared" si="16"/>
        <v>2300</v>
      </c>
      <c r="F92" s="39">
        <f>3450-1150</f>
        <v>2300</v>
      </c>
      <c r="G92" s="24"/>
      <c r="H92" s="24"/>
      <c r="I92" s="24"/>
      <c r="J92" s="23">
        <f t="shared" si="14"/>
        <v>0</v>
      </c>
      <c r="K92" s="24"/>
      <c r="L92" s="24"/>
      <c r="M92" s="24"/>
      <c r="N92" s="24"/>
      <c r="O92" s="24"/>
      <c r="P92" s="23">
        <f t="shared" si="15"/>
        <v>2300</v>
      </c>
    </row>
    <row r="93" spans="1:16" ht="90" customHeight="1" x14ac:dyDescent="0.25">
      <c r="A93" s="52"/>
      <c r="B93" s="10"/>
      <c r="C93" s="11"/>
      <c r="D93" s="12" t="s">
        <v>44</v>
      </c>
      <c r="E93" s="23">
        <f t="shared" si="16"/>
        <v>2300</v>
      </c>
      <c r="F93" s="42">
        <v>2300</v>
      </c>
      <c r="G93" s="24"/>
      <c r="H93" s="24"/>
      <c r="I93" s="24"/>
      <c r="J93" s="23">
        <f t="shared" si="14"/>
        <v>0</v>
      </c>
      <c r="K93" s="24"/>
      <c r="L93" s="24"/>
      <c r="M93" s="24"/>
      <c r="N93" s="24"/>
      <c r="O93" s="24"/>
      <c r="P93" s="23">
        <f t="shared" si="15"/>
        <v>2300</v>
      </c>
    </row>
    <row r="94" spans="1:16" ht="65.25" customHeight="1" x14ac:dyDescent="0.25">
      <c r="A94" s="57" t="s">
        <v>169</v>
      </c>
      <c r="B94" s="20">
        <v>3180</v>
      </c>
      <c r="C94" s="25">
        <v>1060</v>
      </c>
      <c r="D94" s="22" t="s">
        <v>149</v>
      </c>
      <c r="E94" s="23">
        <f t="shared" si="16"/>
        <v>4000</v>
      </c>
      <c r="F94" s="42">
        <v>4000</v>
      </c>
      <c r="G94" s="24"/>
      <c r="H94" s="24"/>
      <c r="I94" s="24"/>
      <c r="J94" s="23">
        <f t="shared" si="14"/>
        <v>0</v>
      </c>
      <c r="K94" s="24"/>
      <c r="L94" s="24"/>
      <c r="M94" s="24"/>
      <c r="N94" s="24"/>
      <c r="O94" s="24"/>
      <c r="P94" s="23">
        <f t="shared" si="15"/>
        <v>4000</v>
      </c>
    </row>
    <row r="95" spans="1:16" ht="40.5" customHeight="1" x14ac:dyDescent="0.25">
      <c r="A95" s="51" t="s">
        <v>170</v>
      </c>
      <c r="B95" s="20" t="s">
        <v>46</v>
      </c>
      <c r="C95" s="21" t="s">
        <v>37</v>
      </c>
      <c r="D95" s="22" t="s">
        <v>47</v>
      </c>
      <c r="E95" s="23">
        <f t="shared" si="16"/>
        <v>2900</v>
      </c>
      <c r="F95" s="39">
        <f>4350-1450</f>
        <v>2900</v>
      </c>
      <c r="G95" s="24"/>
      <c r="H95" s="24"/>
      <c r="I95" s="24"/>
      <c r="J95" s="23">
        <f t="shared" si="14"/>
        <v>0</v>
      </c>
      <c r="K95" s="24"/>
      <c r="L95" s="24"/>
      <c r="M95" s="24"/>
      <c r="N95" s="24"/>
      <c r="O95" s="24"/>
      <c r="P95" s="23">
        <f t="shared" si="15"/>
        <v>2900</v>
      </c>
    </row>
    <row r="96" spans="1:16" ht="41.25" hidden="1" customHeight="1" x14ac:dyDescent="0.25">
      <c r="A96" s="52"/>
      <c r="B96" s="10"/>
      <c r="C96" s="11"/>
      <c r="D96" s="12" t="s">
        <v>48</v>
      </c>
      <c r="E96" s="23">
        <f t="shared" si="16"/>
        <v>0</v>
      </c>
      <c r="F96" s="42"/>
      <c r="G96" s="24"/>
      <c r="H96" s="24"/>
      <c r="I96" s="24"/>
      <c r="J96" s="23">
        <f t="shared" si="14"/>
        <v>0</v>
      </c>
      <c r="K96" s="24"/>
      <c r="L96" s="24"/>
      <c r="M96" s="24"/>
      <c r="N96" s="24"/>
      <c r="O96" s="24"/>
      <c r="P96" s="23">
        <f t="shared" si="15"/>
        <v>0</v>
      </c>
    </row>
    <row r="97" spans="1:16" ht="63" customHeight="1" x14ac:dyDescent="0.25">
      <c r="A97" s="52"/>
      <c r="B97" s="10"/>
      <c r="C97" s="11"/>
      <c r="D97" s="12" t="s">
        <v>49</v>
      </c>
      <c r="E97" s="23">
        <f t="shared" si="16"/>
        <v>2900</v>
      </c>
      <c r="F97" s="42">
        <v>2900</v>
      </c>
      <c r="G97" s="24"/>
      <c r="H97" s="24"/>
      <c r="I97" s="24"/>
      <c r="J97" s="23">
        <f t="shared" si="14"/>
        <v>0</v>
      </c>
      <c r="K97" s="24"/>
      <c r="L97" s="24"/>
      <c r="M97" s="24"/>
      <c r="N97" s="24"/>
      <c r="O97" s="24"/>
      <c r="P97" s="23">
        <f t="shared" si="15"/>
        <v>2900</v>
      </c>
    </row>
    <row r="98" spans="1:16" ht="41.25" hidden="1" customHeight="1" x14ac:dyDescent="0.25">
      <c r="A98" s="51" t="s">
        <v>50</v>
      </c>
      <c r="B98" s="20" t="s">
        <v>51</v>
      </c>
      <c r="C98" s="21" t="s">
        <v>52</v>
      </c>
      <c r="D98" s="22" t="s">
        <v>53</v>
      </c>
      <c r="E98" s="23">
        <f t="shared" si="16"/>
        <v>0</v>
      </c>
      <c r="F98" s="39"/>
      <c r="G98" s="24"/>
      <c r="H98" s="24"/>
      <c r="I98" s="24"/>
      <c r="J98" s="23">
        <f t="shared" si="14"/>
        <v>0</v>
      </c>
      <c r="K98" s="24"/>
      <c r="L98" s="24"/>
      <c r="M98" s="24"/>
      <c r="N98" s="24"/>
      <c r="O98" s="24"/>
      <c r="P98" s="23">
        <f t="shared" si="15"/>
        <v>0</v>
      </c>
    </row>
    <row r="99" spans="1:16" ht="41.25" customHeight="1" x14ac:dyDescent="0.25">
      <c r="A99" s="51" t="s">
        <v>171</v>
      </c>
      <c r="B99" s="20" t="s">
        <v>55</v>
      </c>
      <c r="C99" s="21" t="s">
        <v>56</v>
      </c>
      <c r="D99" s="22" t="s">
        <v>57</v>
      </c>
      <c r="E99" s="23">
        <f t="shared" si="16"/>
        <v>52000</v>
      </c>
      <c r="F99" s="39">
        <f>72000-20000</f>
        <v>52000</v>
      </c>
      <c r="G99" s="24"/>
      <c r="H99" s="24"/>
      <c r="I99" s="24"/>
      <c r="J99" s="23">
        <f t="shared" si="14"/>
        <v>0</v>
      </c>
      <c r="K99" s="24"/>
      <c r="L99" s="24"/>
      <c r="M99" s="24"/>
      <c r="N99" s="24"/>
      <c r="O99" s="24"/>
      <c r="P99" s="23">
        <f t="shared" si="15"/>
        <v>52000</v>
      </c>
    </row>
    <row r="100" spans="1:16" ht="18" customHeight="1" x14ac:dyDescent="0.25">
      <c r="A100" s="57" t="s">
        <v>141</v>
      </c>
      <c r="B100" s="25"/>
      <c r="C100" s="21"/>
      <c r="D100" s="38" t="s">
        <v>140</v>
      </c>
      <c r="E100" s="40">
        <f t="shared" ref="E100:I101" si="17">E101</f>
        <v>557740</v>
      </c>
      <c r="F100" s="39">
        <f t="shared" si="17"/>
        <v>557740</v>
      </c>
      <c r="G100" s="40">
        <f t="shared" si="17"/>
        <v>443650</v>
      </c>
      <c r="H100" s="40">
        <f t="shared" si="17"/>
        <v>0</v>
      </c>
      <c r="I100" s="24">
        <f t="shared" si="17"/>
        <v>0</v>
      </c>
      <c r="J100" s="23">
        <f t="shared" si="5"/>
        <v>8600</v>
      </c>
      <c r="K100" s="24">
        <v>8600</v>
      </c>
      <c r="L100" s="24"/>
      <c r="M100" s="24"/>
      <c r="N100" s="24"/>
      <c r="O100" s="24">
        <v>8600</v>
      </c>
      <c r="P100" s="23">
        <f>E100+J100</f>
        <v>566340</v>
      </c>
    </row>
    <row r="101" spans="1:16" ht="21" customHeight="1" x14ac:dyDescent="0.25">
      <c r="A101" s="57" t="s">
        <v>143</v>
      </c>
      <c r="B101" s="25"/>
      <c r="C101" s="21"/>
      <c r="D101" s="38" t="s">
        <v>140</v>
      </c>
      <c r="E101" s="40">
        <f t="shared" si="17"/>
        <v>557740</v>
      </c>
      <c r="F101" s="39">
        <f t="shared" si="17"/>
        <v>557740</v>
      </c>
      <c r="G101" s="40">
        <f t="shared" si="17"/>
        <v>443650</v>
      </c>
      <c r="H101" s="40">
        <f t="shared" si="17"/>
        <v>0</v>
      </c>
      <c r="I101" s="24">
        <f t="shared" si="17"/>
        <v>0</v>
      </c>
      <c r="J101" s="23">
        <f t="shared" si="5"/>
        <v>8600</v>
      </c>
      <c r="K101" s="24">
        <v>8600</v>
      </c>
      <c r="L101" s="24"/>
      <c r="M101" s="24"/>
      <c r="N101" s="24"/>
      <c r="O101" s="24">
        <v>8600</v>
      </c>
      <c r="P101" s="23">
        <f t="shared" ref="P101:P106" si="18">E101+J101</f>
        <v>566340</v>
      </c>
    </row>
    <row r="102" spans="1:16" ht="45.75" customHeight="1" x14ac:dyDescent="0.25">
      <c r="A102" s="57" t="s">
        <v>142</v>
      </c>
      <c r="B102" s="25" t="s">
        <v>27</v>
      </c>
      <c r="C102" s="25" t="s">
        <v>23</v>
      </c>
      <c r="D102" s="45" t="s">
        <v>120</v>
      </c>
      <c r="E102" s="39">
        <f t="shared" si="9"/>
        <v>557740</v>
      </c>
      <c r="F102" s="48">
        <f>678440-120000-4000-6500+12500-8600+12100-6200</f>
        <v>557740</v>
      </c>
      <c r="G102" s="24">
        <f>527000-98350+10000+10000-5000</f>
        <v>443650</v>
      </c>
      <c r="H102" s="24">
        <f>10500-4000-6500</f>
        <v>0</v>
      </c>
      <c r="I102" s="24">
        <v>0</v>
      </c>
      <c r="J102" s="23">
        <f t="shared" si="5"/>
        <v>8600</v>
      </c>
      <c r="K102" s="24">
        <v>8600</v>
      </c>
      <c r="L102" s="24"/>
      <c r="M102" s="24"/>
      <c r="N102" s="24"/>
      <c r="O102" s="24">
        <v>8600</v>
      </c>
      <c r="P102" s="23">
        <f t="shared" si="18"/>
        <v>566340</v>
      </c>
    </row>
    <row r="103" spans="1:16" x14ac:dyDescent="0.25">
      <c r="A103" s="56" t="s">
        <v>116</v>
      </c>
      <c r="B103" s="6"/>
      <c r="C103" s="7"/>
      <c r="D103" s="8" t="s">
        <v>117</v>
      </c>
      <c r="E103" s="9">
        <f>E104</f>
        <v>3474607</v>
      </c>
      <c r="F103" s="59">
        <f t="shared" ref="F103:O103" si="19">F104</f>
        <v>3454607</v>
      </c>
      <c r="G103" s="9">
        <f t="shared" si="19"/>
        <v>428475</v>
      </c>
      <c r="H103" s="9">
        <f t="shared" si="19"/>
        <v>0</v>
      </c>
      <c r="I103" s="9">
        <f t="shared" si="19"/>
        <v>0</v>
      </c>
      <c r="J103" s="23">
        <f t="shared" si="5"/>
        <v>0</v>
      </c>
      <c r="K103" s="9">
        <f t="shared" si="19"/>
        <v>0</v>
      </c>
      <c r="L103" s="9">
        <f t="shared" si="19"/>
        <v>0</v>
      </c>
      <c r="M103" s="9">
        <f t="shared" si="19"/>
        <v>0</v>
      </c>
      <c r="N103" s="9">
        <f t="shared" si="19"/>
        <v>0</v>
      </c>
      <c r="O103" s="9">
        <f t="shared" si="19"/>
        <v>0</v>
      </c>
      <c r="P103" s="9">
        <f>E103+J103</f>
        <v>3474607</v>
      </c>
    </row>
    <row r="104" spans="1:16" x14ac:dyDescent="0.25">
      <c r="A104" s="56" t="s">
        <v>118</v>
      </c>
      <c r="B104" s="6"/>
      <c r="C104" s="7"/>
      <c r="D104" s="8" t="s">
        <v>117</v>
      </c>
      <c r="E104" s="9">
        <f>E105+E106+E109+E107</f>
        <v>3474607</v>
      </c>
      <c r="F104" s="59">
        <f t="shared" ref="F104:O104" si="20">F105+F106+F109+F107</f>
        <v>3454607</v>
      </c>
      <c r="G104" s="9">
        <f>G105+G106+G109+G107</f>
        <v>428475</v>
      </c>
      <c r="H104" s="9">
        <f t="shared" si="20"/>
        <v>0</v>
      </c>
      <c r="I104" s="9">
        <f t="shared" si="20"/>
        <v>0</v>
      </c>
      <c r="J104" s="23">
        <f t="shared" si="5"/>
        <v>0</v>
      </c>
      <c r="K104" s="9">
        <f t="shared" si="20"/>
        <v>0</v>
      </c>
      <c r="L104" s="9">
        <f t="shared" si="20"/>
        <v>0</v>
      </c>
      <c r="M104" s="9">
        <f t="shared" si="20"/>
        <v>0</v>
      </c>
      <c r="N104" s="9">
        <f t="shared" si="20"/>
        <v>0</v>
      </c>
      <c r="O104" s="9">
        <f t="shared" si="20"/>
        <v>0</v>
      </c>
      <c r="P104" s="9">
        <f>E104+J104</f>
        <v>3474607</v>
      </c>
    </row>
    <row r="105" spans="1:16" ht="49.5" customHeight="1" x14ac:dyDescent="0.25">
      <c r="A105" s="51" t="s">
        <v>119</v>
      </c>
      <c r="B105" s="20" t="s">
        <v>27</v>
      </c>
      <c r="C105" s="21" t="s">
        <v>23</v>
      </c>
      <c r="D105" s="22" t="s">
        <v>120</v>
      </c>
      <c r="E105" s="23">
        <f>F105+I105</f>
        <v>532840</v>
      </c>
      <c r="F105" s="48">
        <f>683440-80000-4000+3000-40500-4000-12100-13000</f>
        <v>532840</v>
      </c>
      <c r="G105" s="24">
        <f>527000-65525-20000-13000</f>
        <v>428475</v>
      </c>
      <c r="H105" s="24">
        <f>10500-4000-6500</f>
        <v>0</v>
      </c>
      <c r="I105" s="24">
        <v>0</v>
      </c>
      <c r="J105" s="23">
        <f t="shared" si="5"/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3">
        <f t="shared" si="18"/>
        <v>532840</v>
      </c>
    </row>
    <row r="106" spans="1:16" x14ac:dyDescent="0.25">
      <c r="A106" s="51" t="s">
        <v>121</v>
      </c>
      <c r="B106" s="20" t="s">
        <v>122</v>
      </c>
      <c r="C106" s="21" t="s">
        <v>26</v>
      </c>
      <c r="D106" s="22" t="s">
        <v>123</v>
      </c>
      <c r="E106" s="23">
        <v>20000</v>
      </c>
      <c r="F106" s="39">
        <v>0</v>
      </c>
      <c r="G106" s="24">
        <v>0</v>
      </c>
      <c r="H106" s="24">
        <v>0</v>
      </c>
      <c r="I106" s="24">
        <v>0</v>
      </c>
      <c r="J106" s="23">
        <f t="shared" si="5"/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3">
        <f t="shared" si="18"/>
        <v>20000</v>
      </c>
    </row>
    <row r="107" spans="1:16" ht="69.75" customHeight="1" x14ac:dyDescent="0.25">
      <c r="A107" s="50">
        <v>3719430</v>
      </c>
      <c r="B107" s="34">
        <v>9430</v>
      </c>
      <c r="C107" s="35" t="s">
        <v>25</v>
      </c>
      <c r="D107" s="37" t="s">
        <v>124</v>
      </c>
      <c r="E107" s="23">
        <f>F107+I107</f>
        <v>83700</v>
      </c>
      <c r="F107" s="39">
        <f>55800+27900</f>
        <v>83700</v>
      </c>
      <c r="G107" s="24"/>
      <c r="H107" s="24"/>
      <c r="I107" s="24"/>
      <c r="J107" s="23">
        <f t="shared" si="5"/>
        <v>0</v>
      </c>
      <c r="K107" s="24"/>
      <c r="L107" s="24"/>
      <c r="M107" s="24"/>
      <c r="N107" s="24"/>
      <c r="O107" s="24"/>
      <c r="P107" s="23">
        <f>E107</f>
        <v>83700</v>
      </c>
    </row>
    <row r="108" spans="1:16" ht="60.75" customHeight="1" x14ac:dyDescent="0.25">
      <c r="A108" s="51"/>
      <c r="B108" s="20"/>
      <c r="C108" s="21"/>
      <c r="D108" s="12" t="s">
        <v>125</v>
      </c>
      <c r="E108" s="23">
        <f>F108+I108</f>
        <v>83700</v>
      </c>
      <c r="F108" s="42">
        <f>55800+27900</f>
        <v>83700</v>
      </c>
      <c r="G108" s="24"/>
      <c r="H108" s="24"/>
      <c r="I108" s="24"/>
      <c r="J108" s="23">
        <f t="shared" si="5"/>
        <v>0</v>
      </c>
      <c r="K108" s="24"/>
      <c r="L108" s="24"/>
      <c r="M108" s="24"/>
      <c r="N108" s="24"/>
      <c r="O108" s="24"/>
      <c r="P108" s="23">
        <f>E108</f>
        <v>83700</v>
      </c>
    </row>
    <row r="109" spans="1:16" ht="18.75" customHeight="1" x14ac:dyDescent="0.25">
      <c r="A109" s="51" t="s">
        <v>126</v>
      </c>
      <c r="B109" s="20" t="s">
        <v>127</v>
      </c>
      <c r="C109" s="21" t="s">
        <v>25</v>
      </c>
      <c r="D109" s="22" t="s">
        <v>128</v>
      </c>
      <c r="E109" s="23">
        <f>F109+I109</f>
        <v>2838067</v>
      </c>
      <c r="F109" s="24">
        <f>855500+25000+10000+1275971+137143+578555+430965+35000+111126-316224-282800+35380-3000+37081+8370-45000-55000</f>
        <v>2838067</v>
      </c>
      <c r="G109" s="24">
        <v>0</v>
      </c>
      <c r="H109" s="24">
        <v>0</v>
      </c>
      <c r="I109" s="47"/>
      <c r="J109" s="23">
        <f t="shared" si="5"/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3">
        <f>E109+J109</f>
        <v>2838067</v>
      </c>
    </row>
    <row r="110" spans="1:16" x14ac:dyDescent="0.25">
      <c r="A110" s="14" t="s">
        <v>129</v>
      </c>
      <c r="B110" s="15" t="s">
        <v>129</v>
      </c>
      <c r="C110" s="16" t="s">
        <v>129</v>
      </c>
      <c r="D110" s="17" t="s">
        <v>130</v>
      </c>
      <c r="E110" s="9">
        <f>E103+E54+E15+E100+E80</f>
        <v>58962378</v>
      </c>
      <c r="F110" s="9">
        <f>F103+F54+F15+F100+F80</f>
        <v>58048314</v>
      </c>
      <c r="G110" s="9">
        <f t="shared" ref="G110:O110" si="21">G103+G54+G15+G100+G80</f>
        <v>37136366</v>
      </c>
      <c r="H110" s="9">
        <f t="shared" si="21"/>
        <v>2759874</v>
      </c>
      <c r="I110" s="9">
        <f>I103+I54+I15+I100+I80</f>
        <v>2004</v>
      </c>
      <c r="J110" s="9">
        <f>J103+J54+J15+J100+J80</f>
        <v>16787625</v>
      </c>
      <c r="K110" s="9">
        <f>K103+K54+K15+K100+K80</f>
        <v>15137194</v>
      </c>
      <c r="L110" s="9">
        <f t="shared" si="21"/>
        <v>965283</v>
      </c>
      <c r="M110" s="9">
        <f t="shared" si="21"/>
        <v>0</v>
      </c>
      <c r="N110" s="9">
        <f t="shared" si="21"/>
        <v>0</v>
      </c>
      <c r="O110" s="9">
        <f t="shared" si="21"/>
        <v>15822342</v>
      </c>
      <c r="P110" s="9">
        <f>P103+P54+P15+P100+P80</f>
        <v>75747714</v>
      </c>
    </row>
    <row r="111" spans="1:16" x14ac:dyDescent="0.25">
      <c r="A111" s="26"/>
      <c r="B111" s="26"/>
      <c r="C111" s="26"/>
      <c r="D111" s="26"/>
      <c r="E111" s="27"/>
      <c r="F111" s="26"/>
      <c r="G111" s="26"/>
      <c r="H111" s="28"/>
      <c r="I111" s="26"/>
      <c r="J111" s="26"/>
      <c r="K111" s="26"/>
      <c r="L111" s="26"/>
      <c r="M111" s="26"/>
      <c r="N111" s="26"/>
      <c r="O111" s="26"/>
      <c r="P111" s="26"/>
    </row>
    <row r="112" spans="1:16" x14ac:dyDescent="0.25">
      <c r="A112" s="29"/>
      <c r="B112" s="29"/>
      <c r="C112" s="29"/>
      <c r="D112" s="29"/>
      <c r="E112" s="27"/>
      <c r="F112" s="29"/>
      <c r="G112" s="29"/>
      <c r="H112" s="29"/>
      <c r="I112" s="29"/>
      <c r="J112" s="30"/>
      <c r="K112" s="29"/>
      <c r="L112" s="29"/>
      <c r="M112" s="29"/>
      <c r="N112" s="29"/>
      <c r="O112" s="29"/>
      <c r="P112" s="30"/>
    </row>
    <row r="113" spans="2:9" x14ac:dyDescent="0.25">
      <c r="B113" s="19" t="s">
        <v>131</v>
      </c>
      <c r="E113" s="18"/>
      <c r="I113" s="19" t="s">
        <v>137</v>
      </c>
    </row>
  </sheetData>
  <mergeCells count="25"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2021-12-21T09:05:40Z</dcterms:modified>
</cp:coreProperties>
</file>