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8" i="1" l="1"/>
  <c r="J16" i="1"/>
  <c r="O16" i="1"/>
  <c r="L16" i="1"/>
  <c r="K16" i="1"/>
  <c r="J49" i="1"/>
  <c r="P49" i="1"/>
  <c r="O64" i="1" l="1"/>
  <c r="K64" i="1"/>
  <c r="O65" i="1"/>
  <c r="K65" i="1"/>
  <c r="K51" i="1" l="1"/>
  <c r="L51" i="1"/>
  <c r="M51" i="1"/>
  <c r="N51" i="1"/>
  <c r="O51" i="1"/>
  <c r="J64" i="1"/>
  <c r="P64" i="1" s="1"/>
  <c r="E64" i="1"/>
  <c r="H90" i="1" l="1"/>
  <c r="F90" i="1"/>
  <c r="H87" i="1"/>
  <c r="F87" i="1"/>
  <c r="H17" i="1"/>
  <c r="F17" i="1"/>
  <c r="J48" i="1" l="1"/>
  <c r="P48" i="1" s="1"/>
  <c r="H62" i="1"/>
  <c r="F62" i="1"/>
  <c r="G38" i="1"/>
  <c r="M16" i="1"/>
  <c r="N16" i="1"/>
  <c r="J46" i="1"/>
  <c r="P46" i="1" s="1"/>
  <c r="J47" i="1"/>
  <c r="G17" i="1"/>
  <c r="F52" i="1"/>
  <c r="G90" i="1"/>
  <c r="F36" i="1"/>
  <c r="H63" i="1"/>
  <c r="F63" i="1"/>
  <c r="H53" i="1"/>
  <c r="P47" i="1" l="1"/>
  <c r="H61" i="1"/>
  <c r="F69" i="1"/>
  <c r="E69" i="1" s="1"/>
  <c r="F94" i="1"/>
  <c r="G69" i="1"/>
  <c r="G68" i="1"/>
  <c r="G67" i="1" s="1"/>
  <c r="F68" i="1"/>
  <c r="O56" i="1"/>
  <c r="J57" i="1"/>
  <c r="E57" i="1"/>
  <c r="K56" i="1"/>
  <c r="F56" i="1"/>
  <c r="G87" i="1"/>
  <c r="F86" i="1"/>
  <c r="F85" i="1" s="1"/>
  <c r="G61" i="1"/>
  <c r="G63" i="1"/>
  <c r="F61" i="1"/>
  <c r="E40" i="1"/>
  <c r="E41" i="1"/>
  <c r="E42" i="1"/>
  <c r="P42" i="1" s="1"/>
  <c r="F34" i="1"/>
  <c r="F32" i="1"/>
  <c r="F30" i="1"/>
  <c r="F29" i="1"/>
  <c r="F28" i="1"/>
  <c r="F27" i="1"/>
  <c r="F26" i="1"/>
  <c r="F25" i="1"/>
  <c r="F24" i="1"/>
  <c r="F23" i="1"/>
  <c r="F22" i="1"/>
  <c r="F21" i="1"/>
  <c r="F20" i="1"/>
  <c r="H67" i="1"/>
  <c r="I67" i="1"/>
  <c r="K67" i="1"/>
  <c r="L67" i="1"/>
  <c r="M67" i="1"/>
  <c r="N67" i="1"/>
  <c r="O67" i="1"/>
  <c r="E84" i="1"/>
  <c r="P84" i="1" s="1"/>
  <c r="E83" i="1"/>
  <c r="P83" i="1" s="1"/>
  <c r="E82" i="1"/>
  <c r="P82" i="1" s="1"/>
  <c r="E81" i="1"/>
  <c r="P81" i="1" s="1"/>
  <c r="F80" i="1"/>
  <c r="E80" i="1" s="1"/>
  <c r="P80" i="1" s="1"/>
  <c r="E79" i="1"/>
  <c r="P79" i="1" s="1"/>
  <c r="E78" i="1"/>
  <c r="P78" i="1" s="1"/>
  <c r="F77" i="1"/>
  <c r="E77" i="1" s="1"/>
  <c r="P77" i="1" s="1"/>
  <c r="E76" i="1"/>
  <c r="P76" i="1" s="1"/>
  <c r="E75" i="1"/>
  <c r="P75" i="1" s="1"/>
  <c r="F74" i="1"/>
  <c r="E74" i="1" s="1"/>
  <c r="P74" i="1" s="1"/>
  <c r="E73" i="1"/>
  <c r="P73" i="1" s="1"/>
  <c r="F72" i="1"/>
  <c r="E72" i="1" s="1"/>
  <c r="P72" i="1" s="1"/>
  <c r="F71" i="1"/>
  <c r="E71" i="1" s="1"/>
  <c r="P71" i="1" s="1"/>
  <c r="E70" i="1"/>
  <c r="P70" i="1" s="1"/>
  <c r="P57" i="1" l="1"/>
  <c r="F67" i="1"/>
  <c r="P69" i="1"/>
  <c r="F53" i="1"/>
  <c r="H52" i="1" l="1"/>
  <c r="F66" i="1" l="1"/>
  <c r="G66" i="1"/>
  <c r="H66" i="1"/>
  <c r="I66" i="1"/>
  <c r="K66" i="1"/>
  <c r="L66" i="1"/>
  <c r="M66" i="1"/>
  <c r="N66" i="1"/>
  <c r="O66" i="1"/>
  <c r="J68" i="1"/>
  <c r="J67" i="1" s="1"/>
  <c r="J66" i="1" s="1"/>
  <c r="E68" i="1"/>
  <c r="E67" i="1" s="1"/>
  <c r="E66" i="1" l="1"/>
  <c r="P68" i="1"/>
  <c r="P67" i="1" s="1"/>
  <c r="P66" i="1" l="1"/>
  <c r="J56" i="1"/>
  <c r="E56" i="1"/>
  <c r="P56" i="1" l="1"/>
  <c r="J51" i="1"/>
  <c r="K53" i="1"/>
  <c r="J65" i="1"/>
  <c r="E65" i="1"/>
  <c r="H38" i="1"/>
  <c r="H16" i="1" s="1"/>
  <c r="H15" i="1" s="1"/>
  <c r="F18" i="1"/>
  <c r="F37" i="1"/>
  <c r="F39" i="1"/>
  <c r="E39" i="1" s="1"/>
  <c r="E18" i="1"/>
  <c r="P18" i="1" s="1"/>
  <c r="E94" i="1"/>
  <c r="G52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P40" i="1" s="1"/>
  <c r="J41" i="1"/>
  <c r="P41" i="1" s="1"/>
  <c r="J43" i="1"/>
  <c r="J44" i="1"/>
  <c r="J45" i="1"/>
  <c r="P45" i="1" s="1"/>
  <c r="J52" i="1"/>
  <c r="J53" i="1"/>
  <c r="J54" i="1"/>
  <c r="J55" i="1"/>
  <c r="J58" i="1"/>
  <c r="J59" i="1"/>
  <c r="J60" i="1"/>
  <c r="J61" i="1"/>
  <c r="J62" i="1"/>
  <c r="J63" i="1"/>
  <c r="J85" i="1"/>
  <c r="J86" i="1"/>
  <c r="J87" i="1"/>
  <c r="J90" i="1"/>
  <c r="P90" i="1" s="1"/>
  <c r="J91" i="1"/>
  <c r="P91" i="1" s="1"/>
  <c r="J92" i="1"/>
  <c r="J93" i="1"/>
  <c r="J94" i="1"/>
  <c r="J17" i="1"/>
  <c r="E29" i="1"/>
  <c r="E26" i="1"/>
  <c r="E20" i="1"/>
  <c r="E52" i="1"/>
  <c r="E53" i="1"/>
  <c r="F51" i="1"/>
  <c r="F50" i="1" s="1"/>
  <c r="G62" i="1"/>
  <c r="G51" i="1" s="1"/>
  <c r="G50" i="1" s="1"/>
  <c r="E92" i="1"/>
  <c r="P92" i="1" s="1"/>
  <c r="E93" i="1"/>
  <c r="P93" i="1" s="1"/>
  <c r="E90" i="1"/>
  <c r="G86" i="1"/>
  <c r="G85" i="1" s="1"/>
  <c r="H86" i="1"/>
  <c r="H85" i="1" s="1"/>
  <c r="I86" i="1"/>
  <c r="I85" i="1"/>
  <c r="G89" i="1"/>
  <c r="G88" i="1" s="1"/>
  <c r="E87" i="1"/>
  <c r="E86" i="1" s="1"/>
  <c r="E85" i="1" s="1"/>
  <c r="E43" i="1"/>
  <c r="E44" i="1"/>
  <c r="G16" i="1"/>
  <c r="G15" i="1" s="1"/>
  <c r="I16" i="1"/>
  <c r="I15" i="1" s="1"/>
  <c r="K15" i="1"/>
  <c r="L15" i="1"/>
  <c r="M15" i="1"/>
  <c r="N15" i="1"/>
  <c r="O15" i="1"/>
  <c r="E19" i="1"/>
  <c r="E59" i="1"/>
  <c r="E60" i="1"/>
  <c r="E61" i="1"/>
  <c r="E62" i="1"/>
  <c r="E63" i="1"/>
  <c r="E58" i="1"/>
  <c r="E54" i="1"/>
  <c r="E55" i="1"/>
  <c r="O50" i="1"/>
  <c r="N50" i="1"/>
  <c r="M50" i="1"/>
  <c r="I51" i="1"/>
  <c r="I50" i="1" s="1"/>
  <c r="E36" i="1"/>
  <c r="E38" i="1"/>
  <c r="E30" i="1"/>
  <c r="E31" i="1"/>
  <c r="E32" i="1"/>
  <c r="E33" i="1"/>
  <c r="E34" i="1"/>
  <c r="E35" i="1"/>
  <c r="E28" i="1"/>
  <c r="E24" i="1"/>
  <c r="E25" i="1"/>
  <c r="E27" i="1"/>
  <c r="E23" i="1"/>
  <c r="E21" i="1"/>
  <c r="E22" i="1"/>
  <c r="E17" i="1"/>
  <c r="O89" i="1"/>
  <c r="O88" i="1" s="1"/>
  <c r="N89" i="1"/>
  <c r="N88" i="1" s="1"/>
  <c r="M89" i="1"/>
  <c r="M88" i="1" s="1"/>
  <c r="L89" i="1"/>
  <c r="L88" i="1" s="1"/>
  <c r="K89" i="1"/>
  <c r="K88" i="1" s="1"/>
  <c r="I89" i="1"/>
  <c r="I88" i="1" s="1"/>
  <c r="H89" i="1"/>
  <c r="H88" i="1" s="1"/>
  <c r="J89" i="1"/>
  <c r="H51" i="1"/>
  <c r="H50" i="1" s="1"/>
  <c r="P26" i="1" l="1"/>
  <c r="F16" i="1"/>
  <c r="F15" i="1" s="1"/>
  <c r="P19" i="1"/>
  <c r="L50" i="1"/>
  <c r="P17" i="1"/>
  <c r="N95" i="1"/>
  <c r="I95" i="1"/>
  <c r="K50" i="1"/>
  <c r="K95" i="1" s="1"/>
  <c r="M95" i="1"/>
  <c r="E37" i="1"/>
  <c r="E16" i="1" s="1"/>
  <c r="P16" i="1" s="1"/>
  <c r="L95" i="1"/>
  <c r="P52" i="1"/>
  <c r="E51" i="1"/>
  <c r="E50" i="1" s="1"/>
  <c r="P65" i="1"/>
  <c r="G95" i="1"/>
  <c r="P20" i="1"/>
  <c r="P23" i="1"/>
  <c r="P62" i="1"/>
  <c r="P22" i="1"/>
  <c r="P86" i="1"/>
  <c r="P28" i="1"/>
  <c r="P32" i="1"/>
  <c r="P44" i="1"/>
  <c r="P34" i="1"/>
  <c r="P30" i="1"/>
  <c r="P38" i="1"/>
  <c r="P58" i="1"/>
  <c r="P43" i="1"/>
  <c r="H95" i="1"/>
  <c r="O95" i="1"/>
  <c r="P61" i="1"/>
  <c r="P25" i="1"/>
  <c r="P36" i="1"/>
  <c r="P21" i="1"/>
  <c r="P33" i="1"/>
  <c r="P54" i="1"/>
  <c r="P87" i="1"/>
  <c r="P59" i="1"/>
  <c r="P35" i="1"/>
  <c r="P63" i="1"/>
  <c r="J50" i="1"/>
  <c r="P55" i="1"/>
  <c r="P24" i="1"/>
  <c r="P27" i="1"/>
  <c r="P31" i="1"/>
  <c r="P85" i="1"/>
  <c r="P53" i="1"/>
  <c r="J15" i="1"/>
  <c r="P60" i="1"/>
  <c r="P29" i="1"/>
  <c r="P39" i="1"/>
  <c r="P94" i="1"/>
  <c r="E89" i="1"/>
  <c r="J88" i="1"/>
  <c r="F89" i="1"/>
  <c r="F88" i="1" s="1"/>
  <c r="F95" i="1" s="1"/>
  <c r="P37" i="1" l="1"/>
  <c r="P51" i="1"/>
  <c r="P15" i="1"/>
  <c r="E15" i="1"/>
  <c r="J95" i="1"/>
  <c r="P50" i="1"/>
  <c r="P89" i="1"/>
  <c r="E88" i="1"/>
  <c r="E95" i="1" l="1"/>
  <c r="P88" i="1"/>
  <c r="P95" i="1" s="1"/>
</calcChain>
</file>

<file path=xl/sharedStrings.xml><?xml version="1.0" encoding="utf-8"?>
<sst xmlns="http://schemas.openxmlformats.org/spreadsheetml/2006/main" count="256" uniqueCount="189">
  <si>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</si>
  <si>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</si>
  <si>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</si>
  <si>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</si>
  <si>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</si>
  <si>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</si>
  <si>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</si>
  <si>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</si>
  <si>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</si>
  <si>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</si>
  <si>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</si>
  <si>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</si>
  <si>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</si>
  <si>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</si>
  <si>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</si>
  <si>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</si>
  <si>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</si>
  <si>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</si>
  <si>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</si>
  <si>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</si>
  <si>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</si>
  <si>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</si>
  <si>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</si>
  <si>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</si>
  <si>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</si>
  <si>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</si>
  <si>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</si>
  <si>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</si>
  <si>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</si>
  <si>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</si>
  <si>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</si>
  <si>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</si>
  <si>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</si>
  <si>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</si>
  <si>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</si>
  <si>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</si>
  <si>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</si>
  <si>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</si>
  <si>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</si>
  <si>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</si>
  <si>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</si>
  <si>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</si>
  <si>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</si>
  <si>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</si>
  <si>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</si>
  <si>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</si>
  <si>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</si>
  <si>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</si>
  <si>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</si>
  <si>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</si>
  <si>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</si>
  <si>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</si>
  <si>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</si>
  <si>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</si>
  <si>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</si>
  <si>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</si>
  <si>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</si>
  <si>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</si>
  <si>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</si>
  <si>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</si>
  <si>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</si>
  <si>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</si>
  <si>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</si>
  <si>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</si>
  <si>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</si>
  <si>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</si>
  <si>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</si>
  <si>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</si>
  <si>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</si>
  <si>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</si>
  <si>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</si>
  <si>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</si>
  <si>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</si>
  <si>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</si>
  <si>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</si>
  <si>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</si>
  <si>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</si>
  <si>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</si>
  <si>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</si>
  <si>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</si>
  <si>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</si>
  <si>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</si>
  <si>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</si>
  <si>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</si>
  <si>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</si>
  <si>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</si>
  <si>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</si>
  <si>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</si>
  <si>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</si>
  <si>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</si>
  <si>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</si>
  <si>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</si>
  <si>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</si>
  <si>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</si>
  <si>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</si>
  <si>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</si>
  <si>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</si>
  <si>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</si>
  <si>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</si>
  <si>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</si>
  <si>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</si>
  <si>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</si>
  <si>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</si>
  <si>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</si>
  <si>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</si>
  <si>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</si>
  <si>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</si>
  <si>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</si>
  <si>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</si>
  <si>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</si>
  <si>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</si>
  <si>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</si>
  <si>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</si>
  <si>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</si>
  <si>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</si>
  <si>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</si>
  <si>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</si>
  <si>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</si>
  <si>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</si>
  <si>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</si>
  <si>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</si>
  <si>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</si>
  <si>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</si>
  <si>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</si>
  <si>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</si>
  <si>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</si>
  <si>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</si>
  <si>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</si>
  <si>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</si>
  <si>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</si>
  <si>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</si>
  <si>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</si>
  <si>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</si>
  <si>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</si>
  <si>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</si>
  <si>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</si>
  <si>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</si>
  <si>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</si>
  <si>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</si>
  <si>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</si>
  <si>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</si>
  <si>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</si>
  <si>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</si>
  <si>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</si>
  <si>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</si>
  <si>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</si>
  <si>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</si>
  <si>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</si>
  <si>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</si>
  <si>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</si>
  <si>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</si>
  <si>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</si>
  <si>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</si>
  <si>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</si>
  <si>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</si>
  <si>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0617321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</si>
  <si>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</si>
  <si>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</si>
  <si>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</si>
  <si>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</si>
  <si>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</si>
  <si>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</si>
  <si>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</si>
  <si>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</si>
  <si>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</si>
  <si>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</si>
  <si>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</si>
  <si>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</si>
  <si>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</si>
  <si>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</si>
  <si>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</si>
  <si>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</si>
  <si>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</si>
  <si>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</si>
  <si>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</si>
  <si>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</si>
  <si>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</si>
  <si>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</si>
  <si>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</si>
  <si>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</si>
  <si>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</si>
  <si>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</si>
  <si>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</si>
  <si>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</si>
  <si>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від 29.04.2021р № 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</si>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</sst>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7" fillId="0" borderId="1" xfId="0" quotePrefix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horizontal="center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3" borderId="1" xfId="0" quotePrefix="1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8"/>
  <sheetViews>
    <sheetView tabSelected="1" workbookViewId="0">
      <selection activeCell="O5" sqref="O5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1" customWidth="1"/>
    <col min="11" max="11" width="11.42578125" customWidth="1"/>
    <col min="12" max="12" width="11.7109375" customWidth="1"/>
    <col min="13" max="13" width="10.5703125" customWidth="1"/>
    <col min="15" max="15" width="12.7109375" customWidth="1"/>
    <col min="16" max="16" width="13" customWidth="1"/>
  </cols>
  <sheetData>
    <row r="2" spans="1:16" x14ac:dyDescent="0.25">
      <c r="M2" t="s">
        <v>0</v>
      </c>
    </row>
    <row r="3" spans="1:16" x14ac:dyDescent="0.25">
      <c r="M3" t="s">
        <v>133</v>
      </c>
    </row>
    <row r="4" spans="1:16" ht="43.5" customHeight="1" x14ac:dyDescent="0.25">
      <c r="M4" s="57" t="s">
        <v>163</v>
      </c>
      <c r="N4" s="57"/>
      <c r="O4" s="57"/>
      <c r="P4" s="57"/>
    </row>
    <row r="5" spans="1:16" x14ac:dyDescent="0.25">
      <c r="M5" t="s">
        <v>184</v>
      </c>
    </row>
    <row r="6" spans="1:16" x14ac:dyDescent="0.25">
      <c r="A6" s="58" t="s">
        <v>1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1:16" x14ac:dyDescent="0.25">
      <c r="A7" s="58" t="s">
        <v>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x14ac:dyDescent="0.25">
      <c r="A8" s="34">
        <v>14555000000</v>
      </c>
      <c r="B8" s="1"/>
      <c r="C8" s="1"/>
      <c r="D8" s="1"/>
      <c r="E8" s="1"/>
      <c r="F8" s="1"/>
      <c r="G8" s="60">
        <v>14555000000</v>
      </c>
      <c r="H8" s="60"/>
      <c r="I8" s="60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62" t="s">
        <v>3</v>
      </c>
      <c r="H9" s="62"/>
      <c r="I9" s="62"/>
      <c r="P9" s="3" t="s">
        <v>4</v>
      </c>
    </row>
    <row r="10" spans="1:16" x14ac:dyDescent="0.25">
      <c r="A10" s="63" t="s">
        <v>5</v>
      </c>
      <c r="B10" s="63" t="s">
        <v>6</v>
      </c>
      <c r="C10" s="63" t="s">
        <v>7</v>
      </c>
      <c r="D10" s="61" t="s">
        <v>8</v>
      </c>
      <c r="E10" s="61" t="s">
        <v>9</v>
      </c>
      <c r="F10" s="61"/>
      <c r="G10" s="61"/>
      <c r="H10" s="61"/>
      <c r="I10" s="61"/>
      <c r="J10" s="61" t="s">
        <v>10</v>
      </c>
      <c r="K10" s="61"/>
      <c r="L10" s="61"/>
      <c r="M10" s="61"/>
      <c r="N10" s="61"/>
      <c r="O10" s="61"/>
      <c r="P10" s="64" t="s">
        <v>11</v>
      </c>
    </row>
    <row r="11" spans="1:16" x14ac:dyDescent="0.25">
      <c r="A11" s="61"/>
      <c r="B11" s="61"/>
      <c r="C11" s="61"/>
      <c r="D11" s="61"/>
      <c r="E11" s="64" t="s">
        <v>12</v>
      </c>
      <c r="F11" s="61" t="s">
        <v>13</v>
      </c>
      <c r="G11" s="61" t="s">
        <v>14</v>
      </c>
      <c r="H11" s="61"/>
      <c r="I11" s="61" t="s">
        <v>15</v>
      </c>
      <c r="J11" s="64" t="s">
        <v>12</v>
      </c>
      <c r="K11" s="61" t="s">
        <v>16</v>
      </c>
      <c r="L11" s="61" t="s">
        <v>13</v>
      </c>
      <c r="M11" s="61" t="s">
        <v>14</v>
      </c>
      <c r="N11" s="61"/>
      <c r="O11" s="61" t="s">
        <v>15</v>
      </c>
      <c r="P11" s="61"/>
    </row>
    <row r="12" spans="1:16" x14ac:dyDescent="0.25">
      <c r="A12" s="61"/>
      <c r="B12" s="61"/>
      <c r="C12" s="61"/>
      <c r="D12" s="61"/>
      <c r="E12" s="61"/>
      <c r="F12" s="61"/>
      <c r="G12" s="61" t="s">
        <v>17</v>
      </c>
      <c r="H12" s="61" t="s">
        <v>18</v>
      </c>
      <c r="I12" s="61"/>
      <c r="J12" s="61"/>
      <c r="K12" s="61"/>
      <c r="L12" s="61"/>
      <c r="M12" s="61" t="s">
        <v>17</v>
      </c>
      <c r="N12" s="61" t="s">
        <v>18</v>
      </c>
      <c r="O12" s="61"/>
      <c r="P12" s="61"/>
    </row>
    <row r="13" spans="1:16" x14ac:dyDescent="0.2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6" t="s">
        <v>19</v>
      </c>
      <c r="B15" s="7"/>
      <c r="C15" s="8"/>
      <c r="D15" s="33" t="s">
        <v>134</v>
      </c>
      <c r="E15" s="10">
        <f>E16</f>
        <v>11052449</v>
      </c>
      <c r="F15" s="10">
        <f t="shared" ref="F15:O15" si="0">F16</f>
        <v>11052449</v>
      </c>
      <c r="G15" s="10">
        <f t="shared" si="0"/>
        <v>7430032</v>
      </c>
      <c r="H15" s="10">
        <f t="shared" si="0"/>
        <v>860950</v>
      </c>
      <c r="I15" s="10">
        <f t="shared" si="0"/>
        <v>0</v>
      </c>
      <c r="J15" s="10">
        <f t="shared" si="0"/>
        <v>843148</v>
      </c>
      <c r="K15" s="10">
        <f t="shared" si="0"/>
        <v>664648</v>
      </c>
      <c r="L15" s="10">
        <f t="shared" si="0"/>
        <v>178500</v>
      </c>
      <c r="M15" s="10">
        <f t="shared" si="0"/>
        <v>0</v>
      </c>
      <c r="N15" s="10">
        <f t="shared" si="0"/>
        <v>0</v>
      </c>
      <c r="O15" s="10">
        <f t="shared" si="0"/>
        <v>664648</v>
      </c>
      <c r="P15" s="10">
        <f>P16</f>
        <v>11895597</v>
      </c>
    </row>
    <row r="16" spans="1:16" ht="16.5" customHeight="1" x14ac:dyDescent="0.25">
      <c r="A16" s="6" t="s">
        <v>20</v>
      </c>
      <c r="B16" s="7"/>
      <c r="C16" s="8"/>
      <c r="D16" s="33" t="s">
        <v>135</v>
      </c>
      <c r="E16" s="10">
        <f>E17+E19+E20+E21+E22+E24+E26+E27+E29+E30+E33+E34+E36+E37+E38+E39+E40+E41+E43+E44+E45+E46+E18+E42</f>
        <v>11052449</v>
      </c>
      <c r="F16" s="10">
        <f>F17+F19+F20+F21+F22+F24+F26+F27+F29+F30+F33+F34+F36+F37+F38+F39+F40+F41+F43+F44+F45+F46+F18+F42</f>
        <v>11052449</v>
      </c>
      <c r="G16" s="10">
        <f>G17+G19+G21+G22+G24+G27+G30+G33+G34+G36+G37+G38+G39+G40+G41+G43+G44+G45+G46</f>
        <v>7430032</v>
      </c>
      <c r="H16" s="10">
        <f t="shared" ref="H16:I16" si="1">H17+H19+H21+H22+H24+H27+H30+H33+H34+H36+H37+H38+H39+H40+H41+H43+H44+H45+H46</f>
        <v>860950</v>
      </c>
      <c r="I16" s="10">
        <f t="shared" si="1"/>
        <v>0</v>
      </c>
      <c r="J16" s="10">
        <f>J17+J19+J21+J22+J24+J27+J30+J33+J34+J36+J37+J38+J39+J40+J41+J43+J44+J45+J46+J47+J48+J49</f>
        <v>843148</v>
      </c>
      <c r="K16" s="10">
        <f>K17+K19+K21+K22+K24+K27+K30+K33+K34+K36+K37+K38+K39+K40+K41+K43+K44+K45+K46+K47+K48+K49</f>
        <v>664648</v>
      </c>
      <c r="L16" s="10">
        <f>L17+L19+L21+L22+L24+L27+L30+L33+L34+L36+L37+L38+L39+L40+L41+L43+L44+L45+L46+L47+L49</f>
        <v>178500</v>
      </c>
      <c r="M16" s="10">
        <f t="shared" ref="M16:N16" si="2">M17+M19+M21+M22+M24+M27+M30+M33+M34+M36+M37+M38+M39+M40+M41+M43+M44+M45+M46+M47</f>
        <v>0</v>
      </c>
      <c r="N16" s="10">
        <f t="shared" si="2"/>
        <v>0</v>
      </c>
      <c r="O16" s="10">
        <f>O17+O19+O21+O22+O24+O27+O30+O33+O34+O36+O37+O38+O39+O40+O41+O43+O44+O45+O46+O47+O48+O49</f>
        <v>664648</v>
      </c>
      <c r="P16" s="10">
        <f>E16+J16</f>
        <v>11895597</v>
      </c>
    </row>
    <row r="17" spans="1:16" ht="68.25" customHeight="1" x14ac:dyDescent="0.25">
      <c r="A17" s="22" t="s">
        <v>21</v>
      </c>
      <c r="B17" s="22" t="s">
        <v>22</v>
      </c>
      <c r="C17" s="23" t="s">
        <v>23</v>
      </c>
      <c r="D17" s="24" t="s">
        <v>24</v>
      </c>
      <c r="E17" s="25">
        <f>F17+I17</f>
        <v>7392998</v>
      </c>
      <c r="F17" s="52">
        <f>9622673-10000-404064-1823611+8000</f>
        <v>7392998</v>
      </c>
      <c r="G17" s="26">
        <f>7478100-331200+131250-1495000</f>
        <v>5783150</v>
      </c>
      <c r="H17" s="26">
        <f>162000+8000</f>
        <v>170000</v>
      </c>
      <c r="I17" s="26">
        <v>0</v>
      </c>
      <c r="J17" s="25">
        <f>L17+O17</f>
        <v>600000</v>
      </c>
      <c r="K17" s="26">
        <v>600000</v>
      </c>
      <c r="L17" s="26"/>
      <c r="M17" s="26">
        <v>0</v>
      </c>
      <c r="N17" s="26">
        <v>0</v>
      </c>
      <c r="O17" s="26">
        <v>600000</v>
      </c>
      <c r="P17" s="25">
        <f>E17+J17</f>
        <v>7992998</v>
      </c>
    </row>
    <row r="18" spans="1:16" ht="29.25" customHeight="1" x14ac:dyDescent="0.25">
      <c r="A18" s="35" t="s">
        <v>152</v>
      </c>
      <c r="B18" s="36">
        <v>180</v>
      </c>
      <c r="C18" s="27" t="s">
        <v>26</v>
      </c>
      <c r="D18" s="24" t="s">
        <v>153</v>
      </c>
      <c r="E18" s="25">
        <f>F18+I18</f>
        <v>100000</v>
      </c>
      <c r="F18" s="52">
        <f>10000+40000+50000</f>
        <v>100000</v>
      </c>
      <c r="G18" s="26"/>
      <c r="H18" s="26"/>
      <c r="I18" s="26"/>
      <c r="J18" s="25"/>
      <c r="K18" s="26"/>
      <c r="L18" s="26"/>
      <c r="M18" s="26"/>
      <c r="N18" s="26"/>
      <c r="O18" s="26"/>
      <c r="P18" s="25">
        <f>E18+J18</f>
        <v>100000</v>
      </c>
    </row>
    <row r="19" spans="1:16" ht="29.25" customHeight="1" x14ac:dyDescent="0.25">
      <c r="A19" s="35" t="s">
        <v>137</v>
      </c>
      <c r="B19" s="36">
        <v>8130</v>
      </c>
      <c r="C19" s="43" t="s">
        <v>146</v>
      </c>
      <c r="D19" s="38" t="s">
        <v>140</v>
      </c>
      <c r="E19" s="25">
        <f>F19+I19</f>
        <v>2019467</v>
      </c>
      <c r="F19" s="41">
        <v>2019467</v>
      </c>
      <c r="G19" s="26">
        <v>1496882</v>
      </c>
      <c r="H19" s="26">
        <v>70950</v>
      </c>
      <c r="I19" s="26"/>
      <c r="J19" s="25">
        <f t="shared" ref="J19:J94" si="3">L19+O19</f>
        <v>0</v>
      </c>
      <c r="K19" s="26"/>
      <c r="L19" s="26"/>
      <c r="M19" s="26"/>
      <c r="N19" s="26"/>
      <c r="O19" s="26"/>
      <c r="P19" s="25">
        <f t="shared" ref="P19:P49" si="4">E19+J19</f>
        <v>2019467</v>
      </c>
    </row>
    <row r="20" spans="1:16" ht="0.75" customHeight="1" x14ac:dyDescent="0.25">
      <c r="A20" s="47" t="s">
        <v>145</v>
      </c>
      <c r="B20" s="36">
        <v>3032</v>
      </c>
      <c r="C20" s="43">
        <v>1070</v>
      </c>
      <c r="D20" s="38" t="s">
        <v>147</v>
      </c>
      <c r="E20" s="25">
        <f>F20+I20</f>
        <v>0</v>
      </c>
      <c r="F20" s="41">
        <f>2126-2126</f>
        <v>0</v>
      </c>
      <c r="G20" s="26"/>
      <c r="H20" s="26"/>
      <c r="I20" s="26"/>
      <c r="J20" s="25">
        <f t="shared" si="3"/>
        <v>0</v>
      </c>
      <c r="K20" s="26"/>
      <c r="L20" s="26"/>
      <c r="M20" s="26"/>
      <c r="N20" s="26"/>
      <c r="O20" s="26"/>
      <c r="P20" s="25">
        <f t="shared" si="4"/>
        <v>0</v>
      </c>
    </row>
    <row r="21" spans="1:16" ht="41.25" hidden="1" customHeight="1" x14ac:dyDescent="0.25">
      <c r="A21" s="48" t="s">
        <v>28</v>
      </c>
      <c r="B21" s="36" t="s">
        <v>29</v>
      </c>
      <c r="C21" s="37" t="s">
        <v>30</v>
      </c>
      <c r="D21" s="39" t="s">
        <v>31</v>
      </c>
      <c r="E21" s="25">
        <f t="shared" ref="E21:E44" si="5">F21+I21</f>
        <v>0</v>
      </c>
      <c r="F21" s="41">
        <f>27000+50000-77000</f>
        <v>0</v>
      </c>
      <c r="G21" s="26">
        <v>0</v>
      </c>
      <c r="H21" s="26">
        <v>0</v>
      </c>
      <c r="I21" s="26">
        <v>0</v>
      </c>
      <c r="J21" s="25">
        <f t="shared" si="3"/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5">
        <f t="shared" si="4"/>
        <v>0</v>
      </c>
    </row>
    <row r="22" spans="1:16" ht="44.25" hidden="1" customHeight="1" x14ac:dyDescent="0.25">
      <c r="A22" s="49" t="s">
        <v>32</v>
      </c>
      <c r="B22" s="22" t="s">
        <v>33</v>
      </c>
      <c r="C22" s="23" t="s">
        <v>30</v>
      </c>
      <c r="D22" s="24" t="s">
        <v>34</v>
      </c>
      <c r="E22" s="25">
        <f t="shared" si="5"/>
        <v>0</v>
      </c>
      <c r="F22" s="41">
        <f>3150-1050-2100</f>
        <v>0</v>
      </c>
      <c r="G22" s="26">
        <v>0</v>
      </c>
      <c r="H22" s="26">
        <v>0</v>
      </c>
      <c r="I22" s="26">
        <v>0</v>
      </c>
      <c r="J22" s="25">
        <f t="shared" si="3"/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5">
        <f t="shared" si="4"/>
        <v>0</v>
      </c>
    </row>
    <row r="23" spans="1:16" ht="53.25" hidden="1" customHeight="1" x14ac:dyDescent="0.25">
      <c r="A23" s="50"/>
      <c r="B23" s="11"/>
      <c r="C23" s="12"/>
      <c r="D23" s="13" t="s">
        <v>35</v>
      </c>
      <c r="E23" s="25">
        <f t="shared" si="5"/>
        <v>0</v>
      </c>
      <c r="F23" s="44">
        <f>2100-2100</f>
        <v>0</v>
      </c>
      <c r="G23" s="14"/>
      <c r="H23" s="14"/>
      <c r="I23" s="14"/>
      <c r="J23" s="25">
        <f t="shared" si="3"/>
        <v>0</v>
      </c>
      <c r="K23" s="14"/>
      <c r="L23" s="14"/>
      <c r="M23" s="14"/>
      <c r="N23" s="14"/>
      <c r="O23" s="14"/>
      <c r="P23" s="25">
        <f t="shared" si="4"/>
        <v>0</v>
      </c>
    </row>
    <row r="24" spans="1:16" ht="32.25" hidden="1" customHeight="1" x14ac:dyDescent="0.25">
      <c r="A24" s="49" t="s">
        <v>36</v>
      </c>
      <c r="B24" s="22" t="s">
        <v>37</v>
      </c>
      <c r="C24" s="23" t="s">
        <v>38</v>
      </c>
      <c r="D24" s="24" t="s">
        <v>39</v>
      </c>
      <c r="E24" s="25">
        <f t="shared" si="5"/>
        <v>0</v>
      </c>
      <c r="F24" s="41">
        <f>5400-1800-3600</f>
        <v>0</v>
      </c>
      <c r="G24" s="26">
        <v>0</v>
      </c>
      <c r="H24" s="26">
        <v>0</v>
      </c>
      <c r="I24" s="26">
        <v>0</v>
      </c>
      <c r="J24" s="25">
        <f t="shared" si="3"/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5">
        <f t="shared" si="4"/>
        <v>0</v>
      </c>
    </row>
    <row r="25" spans="1:16" ht="55.5" hidden="1" customHeight="1" x14ac:dyDescent="0.25">
      <c r="A25" s="49"/>
      <c r="B25" s="22"/>
      <c r="C25" s="23"/>
      <c r="D25" s="13" t="s">
        <v>40</v>
      </c>
      <c r="E25" s="25">
        <f t="shared" si="5"/>
        <v>0</v>
      </c>
      <c r="F25" s="44">
        <f>3600-3600</f>
        <v>0</v>
      </c>
      <c r="G25" s="14"/>
      <c r="H25" s="14"/>
      <c r="I25" s="14"/>
      <c r="J25" s="25">
        <f t="shared" si="3"/>
        <v>0</v>
      </c>
      <c r="K25" s="14"/>
      <c r="L25" s="14"/>
      <c r="M25" s="14"/>
      <c r="N25" s="14"/>
      <c r="O25" s="14"/>
      <c r="P25" s="25">
        <f t="shared" si="4"/>
        <v>0</v>
      </c>
    </row>
    <row r="26" spans="1:16" ht="0.75" customHeight="1" x14ac:dyDescent="0.25">
      <c r="A26" s="51" t="s">
        <v>151</v>
      </c>
      <c r="B26" s="27" t="s">
        <v>148</v>
      </c>
      <c r="C26" s="27" t="s">
        <v>43</v>
      </c>
      <c r="D26" s="13" t="s">
        <v>149</v>
      </c>
      <c r="E26" s="25">
        <f t="shared" si="5"/>
        <v>0</v>
      </c>
      <c r="F26" s="44">
        <f>39000-39000</f>
        <v>0</v>
      </c>
      <c r="G26" s="14"/>
      <c r="H26" s="14"/>
      <c r="I26" s="14"/>
      <c r="J26" s="25">
        <f t="shared" si="3"/>
        <v>0</v>
      </c>
      <c r="K26" s="14"/>
      <c r="L26" s="14"/>
      <c r="M26" s="14"/>
      <c r="N26" s="14"/>
      <c r="O26" s="14"/>
      <c r="P26" s="25">
        <f t="shared" si="4"/>
        <v>0</v>
      </c>
    </row>
    <row r="27" spans="1:16" ht="51.75" hidden="1" customHeight="1" x14ac:dyDescent="0.25">
      <c r="A27" s="49" t="s">
        <v>41</v>
      </c>
      <c r="B27" s="22" t="s">
        <v>42</v>
      </c>
      <c r="C27" s="23" t="s">
        <v>43</v>
      </c>
      <c r="D27" s="24" t="s">
        <v>44</v>
      </c>
      <c r="E27" s="25">
        <f t="shared" si="5"/>
        <v>0</v>
      </c>
      <c r="F27" s="41">
        <f>3450-1150-2300</f>
        <v>0</v>
      </c>
      <c r="G27" s="26">
        <v>0</v>
      </c>
      <c r="H27" s="26">
        <v>0</v>
      </c>
      <c r="I27" s="26">
        <v>0</v>
      </c>
      <c r="J27" s="25">
        <f t="shared" si="3"/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5">
        <f t="shared" si="4"/>
        <v>0</v>
      </c>
    </row>
    <row r="28" spans="1:16" ht="98.25" hidden="1" customHeight="1" x14ac:dyDescent="0.25">
      <c r="A28" s="50"/>
      <c r="B28" s="11"/>
      <c r="C28" s="12"/>
      <c r="D28" s="13" t="s">
        <v>45</v>
      </c>
      <c r="E28" s="25">
        <f t="shared" si="5"/>
        <v>0</v>
      </c>
      <c r="F28" s="44">
        <f>2300-2300</f>
        <v>0</v>
      </c>
      <c r="G28" s="14"/>
      <c r="H28" s="14"/>
      <c r="I28" s="14"/>
      <c r="J28" s="25">
        <f t="shared" si="3"/>
        <v>0</v>
      </c>
      <c r="K28" s="14"/>
      <c r="L28" s="14"/>
      <c r="M28" s="14"/>
      <c r="N28" s="14"/>
      <c r="O28" s="14"/>
      <c r="P28" s="25">
        <f t="shared" si="4"/>
        <v>0</v>
      </c>
    </row>
    <row r="29" spans="1:16" ht="69" hidden="1" customHeight="1" x14ac:dyDescent="0.25">
      <c r="A29" s="49">
        <v>113180</v>
      </c>
      <c r="B29" s="22">
        <v>3180</v>
      </c>
      <c r="C29" s="27">
        <v>1060</v>
      </c>
      <c r="D29" s="24" t="s">
        <v>150</v>
      </c>
      <c r="E29" s="25">
        <f t="shared" si="5"/>
        <v>0</v>
      </c>
      <c r="F29" s="44">
        <f>4000-4000</f>
        <v>0</v>
      </c>
      <c r="G29" s="14"/>
      <c r="H29" s="14"/>
      <c r="I29" s="14"/>
      <c r="J29" s="25">
        <f t="shared" si="3"/>
        <v>0</v>
      </c>
      <c r="K29" s="14"/>
      <c r="L29" s="14"/>
      <c r="M29" s="14"/>
      <c r="N29" s="14"/>
      <c r="O29" s="14"/>
      <c r="P29" s="25">
        <f t="shared" si="4"/>
        <v>0</v>
      </c>
    </row>
    <row r="30" spans="1:16" ht="25.5" hidden="1" x14ac:dyDescent="0.25">
      <c r="A30" s="49" t="s">
        <v>46</v>
      </c>
      <c r="B30" s="22" t="s">
        <v>47</v>
      </c>
      <c r="C30" s="23" t="s">
        <v>38</v>
      </c>
      <c r="D30" s="24" t="s">
        <v>48</v>
      </c>
      <c r="E30" s="25">
        <f t="shared" si="5"/>
        <v>0</v>
      </c>
      <c r="F30" s="41">
        <f>4350-1450-2900</f>
        <v>0</v>
      </c>
      <c r="G30" s="26">
        <v>0</v>
      </c>
      <c r="H30" s="26">
        <v>0</v>
      </c>
      <c r="I30" s="26">
        <v>0</v>
      </c>
      <c r="J30" s="25">
        <f t="shared" si="3"/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5">
        <f t="shared" si="4"/>
        <v>0</v>
      </c>
    </row>
    <row r="31" spans="1:16" ht="0.75" hidden="1" customHeight="1" x14ac:dyDescent="0.25">
      <c r="A31" s="11"/>
      <c r="B31" s="11"/>
      <c r="C31" s="12"/>
      <c r="D31" s="13" t="s">
        <v>49</v>
      </c>
      <c r="E31" s="25">
        <f t="shared" si="5"/>
        <v>0</v>
      </c>
      <c r="F31" s="44"/>
      <c r="G31" s="14"/>
      <c r="H31" s="14"/>
      <c r="I31" s="14"/>
      <c r="J31" s="25">
        <f t="shared" si="3"/>
        <v>0</v>
      </c>
      <c r="K31" s="14"/>
      <c r="L31" s="14"/>
      <c r="M31" s="14"/>
      <c r="N31" s="14"/>
      <c r="O31" s="14"/>
      <c r="P31" s="25">
        <f t="shared" si="4"/>
        <v>0</v>
      </c>
    </row>
    <row r="32" spans="1:16" ht="86.25" hidden="1" customHeight="1" x14ac:dyDescent="0.25">
      <c r="A32" s="11"/>
      <c r="B32" s="11"/>
      <c r="C32" s="12"/>
      <c r="D32" s="13" t="s">
        <v>50</v>
      </c>
      <c r="E32" s="25">
        <f t="shared" si="5"/>
        <v>0</v>
      </c>
      <c r="F32" s="44">
        <f>2900-2900</f>
        <v>0</v>
      </c>
      <c r="G32" s="14"/>
      <c r="H32" s="14"/>
      <c r="I32" s="14"/>
      <c r="J32" s="25">
        <f t="shared" si="3"/>
        <v>0</v>
      </c>
      <c r="K32" s="14"/>
      <c r="L32" s="14"/>
      <c r="M32" s="14"/>
      <c r="N32" s="14"/>
      <c r="O32" s="14"/>
      <c r="P32" s="25">
        <f t="shared" si="4"/>
        <v>0</v>
      </c>
    </row>
    <row r="33" spans="1:16" ht="0.75" hidden="1" customHeight="1" x14ac:dyDescent="0.25">
      <c r="A33" s="22" t="s">
        <v>51</v>
      </c>
      <c r="B33" s="22" t="s">
        <v>52</v>
      </c>
      <c r="C33" s="23" t="s">
        <v>53</v>
      </c>
      <c r="D33" s="24" t="s">
        <v>54</v>
      </c>
      <c r="E33" s="25">
        <f t="shared" si="5"/>
        <v>0</v>
      </c>
      <c r="F33" s="41"/>
      <c r="G33" s="26">
        <v>0</v>
      </c>
      <c r="H33" s="26">
        <v>0</v>
      </c>
      <c r="I33" s="26">
        <v>0</v>
      </c>
      <c r="J33" s="25">
        <f t="shared" si="3"/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5">
        <f t="shared" si="4"/>
        <v>0</v>
      </c>
    </row>
    <row r="34" spans="1:16" ht="30.75" hidden="1" customHeight="1" x14ac:dyDescent="0.25">
      <c r="A34" s="49" t="s">
        <v>55</v>
      </c>
      <c r="B34" s="22" t="s">
        <v>56</v>
      </c>
      <c r="C34" s="23" t="s">
        <v>57</v>
      </c>
      <c r="D34" s="24" t="s">
        <v>58</v>
      </c>
      <c r="E34" s="25">
        <f t="shared" si="5"/>
        <v>0</v>
      </c>
      <c r="F34" s="41">
        <f>72000-72000</f>
        <v>0</v>
      </c>
      <c r="G34" s="26">
        <v>0</v>
      </c>
      <c r="H34" s="26">
        <v>0</v>
      </c>
      <c r="I34" s="26">
        <v>0</v>
      </c>
      <c r="J34" s="25">
        <f t="shared" si="3"/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5">
        <f t="shared" si="4"/>
        <v>0</v>
      </c>
    </row>
    <row r="35" spans="1:16" ht="108" hidden="1" customHeight="1" x14ac:dyDescent="0.25">
      <c r="A35" s="11"/>
      <c r="B35" s="11"/>
      <c r="C35" s="12"/>
      <c r="D35" s="13" t="s">
        <v>59</v>
      </c>
      <c r="E35" s="25">
        <f t="shared" si="5"/>
        <v>0</v>
      </c>
      <c r="F35" s="44"/>
      <c r="G35" s="14"/>
      <c r="H35" s="14"/>
      <c r="I35" s="14"/>
      <c r="J35" s="25">
        <f t="shared" si="3"/>
        <v>0</v>
      </c>
      <c r="K35" s="14"/>
      <c r="L35" s="14"/>
      <c r="M35" s="14"/>
      <c r="N35" s="14"/>
      <c r="O35" s="14"/>
      <c r="P35" s="25">
        <f t="shared" si="4"/>
        <v>0</v>
      </c>
    </row>
    <row r="36" spans="1:16" x14ac:dyDescent="0.25">
      <c r="A36" s="22" t="s">
        <v>60</v>
      </c>
      <c r="B36" s="22" t="s">
        <v>61</v>
      </c>
      <c r="C36" s="23" t="s">
        <v>62</v>
      </c>
      <c r="D36" s="24" t="s">
        <v>63</v>
      </c>
      <c r="E36" s="25">
        <f t="shared" si="5"/>
        <v>0</v>
      </c>
      <c r="F36" s="52">
        <f>50000-50000</f>
        <v>0</v>
      </c>
      <c r="G36" s="26">
        <v>0</v>
      </c>
      <c r="H36" s="26">
        <v>0</v>
      </c>
      <c r="I36" s="26">
        <v>0</v>
      </c>
      <c r="J36" s="25">
        <f t="shared" si="3"/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5">
        <f t="shared" si="4"/>
        <v>0</v>
      </c>
    </row>
    <row r="37" spans="1:16" ht="36" customHeight="1" x14ac:dyDescent="0.25">
      <c r="A37" s="22" t="s">
        <v>64</v>
      </c>
      <c r="B37" s="22" t="s">
        <v>65</v>
      </c>
      <c r="C37" s="23" t="s">
        <v>66</v>
      </c>
      <c r="D37" s="24" t="s">
        <v>67</v>
      </c>
      <c r="E37" s="25">
        <f t="shared" si="5"/>
        <v>150000</v>
      </c>
      <c r="F37" s="41">
        <f>200000-50000</f>
        <v>150000</v>
      </c>
      <c r="G37" s="26">
        <v>0</v>
      </c>
      <c r="H37" s="26">
        <v>0</v>
      </c>
      <c r="I37" s="26">
        <v>0</v>
      </c>
      <c r="J37" s="25">
        <f t="shared" si="3"/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5">
        <f t="shared" si="4"/>
        <v>150000</v>
      </c>
    </row>
    <row r="38" spans="1:16" ht="18" customHeight="1" x14ac:dyDescent="0.25">
      <c r="A38" s="22" t="s">
        <v>68</v>
      </c>
      <c r="B38" s="22" t="s">
        <v>69</v>
      </c>
      <c r="C38" s="23" t="s">
        <v>66</v>
      </c>
      <c r="D38" s="24" t="s">
        <v>70</v>
      </c>
      <c r="E38" s="25">
        <f t="shared" si="5"/>
        <v>1120406</v>
      </c>
      <c r="F38" s="41">
        <f>1174824-99578+95160-50000</f>
        <v>1120406</v>
      </c>
      <c r="G38" s="26">
        <f>72000+78000</f>
        <v>150000</v>
      </c>
      <c r="H38" s="26">
        <f>320000+200000+100000</f>
        <v>620000</v>
      </c>
      <c r="I38" s="26">
        <v>0</v>
      </c>
      <c r="J38" s="25">
        <f t="shared" si="3"/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5">
        <f t="shared" si="4"/>
        <v>1120406</v>
      </c>
    </row>
    <row r="39" spans="1:16" ht="16.5" customHeight="1" x14ac:dyDescent="0.25">
      <c r="A39" s="22" t="s">
        <v>71</v>
      </c>
      <c r="B39" s="22" t="s">
        <v>72</v>
      </c>
      <c r="C39" s="23" t="s">
        <v>73</v>
      </c>
      <c r="D39" s="24" t="s">
        <v>74</v>
      </c>
      <c r="E39" s="25">
        <f t="shared" si="5"/>
        <v>160000</v>
      </c>
      <c r="F39" s="41">
        <f>200000-40000</f>
        <v>160000</v>
      </c>
      <c r="G39" s="26">
        <v>0</v>
      </c>
      <c r="H39" s="26">
        <v>0</v>
      </c>
      <c r="I39" s="26">
        <v>0</v>
      </c>
      <c r="J39" s="25">
        <f t="shared" si="3"/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5">
        <f t="shared" si="4"/>
        <v>160000</v>
      </c>
    </row>
    <row r="40" spans="1:16" ht="27" hidden="1" customHeight="1" x14ac:dyDescent="0.25">
      <c r="A40" s="46"/>
      <c r="B40" s="36"/>
      <c r="C40" s="37"/>
      <c r="D40" s="39"/>
      <c r="E40" s="25">
        <f t="shared" si="5"/>
        <v>0</v>
      </c>
      <c r="F40" s="41"/>
      <c r="G40" s="26"/>
      <c r="H40" s="26"/>
      <c r="I40" s="26"/>
      <c r="J40" s="25">
        <f t="shared" si="3"/>
        <v>0</v>
      </c>
      <c r="K40" s="26"/>
      <c r="L40" s="26"/>
      <c r="M40" s="26"/>
      <c r="N40" s="26"/>
      <c r="O40" s="26"/>
      <c r="P40" s="25">
        <f t="shared" si="4"/>
        <v>0</v>
      </c>
    </row>
    <row r="41" spans="1:16" ht="64.5" hidden="1" customHeight="1" x14ac:dyDescent="0.25">
      <c r="A41" s="36" t="s">
        <v>76</v>
      </c>
      <c r="B41" s="36" t="s">
        <v>77</v>
      </c>
      <c r="C41" s="23" t="s">
        <v>78</v>
      </c>
      <c r="D41" s="24" t="s">
        <v>79</v>
      </c>
      <c r="E41" s="25">
        <f t="shared" si="5"/>
        <v>0</v>
      </c>
      <c r="F41" s="41">
        <v>0</v>
      </c>
      <c r="G41" s="26">
        <v>0</v>
      </c>
      <c r="H41" s="26">
        <v>0</v>
      </c>
      <c r="I41" s="26">
        <v>0</v>
      </c>
      <c r="J41" s="25">
        <f t="shared" si="3"/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5">
        <f t="shared" si="4"/>
        <v>0</v>
      </c>
    </row>
    <row r="42" spans="1:16" ht="31.5" customHeight="1" x14ac:dyDescent="0.25">
      <c r="A42" s="35" t="s">
        <v>174</v>
      </c>
      <c r="B42" s="36">
        <v>7693</v>
      </c>
      <c r="C42" s="56" t="s">
        <v>82</v>
      </c>
      <c r="D42" s="24" t="s">
        <v>164</v>
      </c>
      <c r="E42" s="25">
        <f t="shared" si="5"/>
        <v>99578</v>
      </c>
      <c r="F42" s="41">
        <v>99578</v>
      </c>
      <c r="G42" s="26"/>
      <c r="H42" s="26"/>
      <c r="I42" s="26"/>
      <c r="J42" s="25"/>
      <c r="K42" s="26"/>
      <c r="L42" s="26"/>
      <c r="M42" s="26"/>
      <c r="N42" s="26"/>
      <c r="O42" s="26"/>
      <c r="P42" s="25">
        <f t="shared" si="4"/>
        <v>99578</v>
      </c>
    </row>
    <row r="43" spans="1:16" ht="95.25" customHeight="1" x14ac:dyDescent="0.25">
      <c r="A43" s="36" t="s">
        <v>80</v>
      </c>
      <c r="B43" s="36" t="s">
        <v>81</v>
      </c>
      <c r="C43" s="23" t="s">
        <v>82</v>
      </c>
      <c r="D43" s="24" t="s">
        <v>83</v>
      </c>
      <c r="E43" s="25">
        <f t="shared" si="5"/>
        <v>0</v>
      </c>
      <c r="F43" s="41">
        <v>0</v>
      </c>
      <c r="G43" s="26">
        <v>0</v>
      </c>
      <c r="H43" s="26">
        <v>0</v>
      </c>
      <c r="I43" s="26">
        <v>0</v>
      </c>
      <c r="J43" s="25">
        <f t="shared" si="3"/>
        <v>132800</v>
      </c>
      <c r="K43" s="26">
        <v>0</v>
      </c>
      <c r="L43" s="26">
        <v>132800</v>
      </c>
      <c r="M43" s="26">
        <v>0</v>
      </c>
      <c r="N43" s="26">
        <v>0</v>
      </c>
      <c r="O43" s="26">
        <v>0</v>
      </c>
      <c r="P43" s="25">
        <f t="shared" si="4"/>
        <v>132800</v>
      </c>
    </row>
    <row r="44" spans="1:16" ht="30" customHeight="1" x14ac:dyDescent="0.25">
      <c r="A44" s="22" t="s">
        <v>84</v>
      </c>
      <c r="B44" s="22" t="s">
        <v>85</v>
      </c>
      <c r="C44" s="23" t="s">
        <v>86</v>
      </c>
      <c r="D44" s="24" t="s">
        <v>87</v>
      </c>
      <c r="E44" s="25">
        <f t="shared" si="5"/>
        <v>10000</v>
      </c>
      <c r="F44" s="41">
        <v>10000</v>
      </c>
      <c r="G44" s="26">
        <v>0</v>
      </c>
      <c r="H44" s="26">
        <v>0</v>
      </c>
      <c r="I44" s="26">
        <v>0</v>
      </c>
      <c r="J44" s="25">
        <f t="shared" si="3"/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5">
        <f t="shared" si="4"/>
        <v>10000</v>
      </c>
    </row>
    <row r="45" spans="1:16" ht="29.25" customHeight="1" x14ac:dyDescent="0.25">
      <c r="A45" s="36" t="s">
        <v>88</v>
      </c>
      <c r="B45" s="22" t="s">
        <v>89</v>
      </c>
      <c r="C45" s="23" t="s">
        <v>90</v>
      </c>
      <c r="D45" s="24" t="s">
        <v>91</v>
      </c>
      <c r="E45" s="25">
        <v>0</v>
      </c>
      <c r="F45" s="41">
        <v>0</v>
      </c>
      <c r="G45" s="26">
        <v>0</v>
      </c>
      <c r="H45" s="26">
        <v>0</v>
      </c>
      <c r="I45" s="26">
        <v>0</v>
      </c>
      <c r="J45" s="25">
        <f t="shared" si="3"/>
        <v>45700</v>
      </c>
      <c r="K45" s="26">
        <v>0</v>
      </c>
      <c r="L45" s="26">
        <v>45700</v>
      </c>
      <c r="M45" s="26">
        <v>0</v>
      </c>
      <c r="N45" s="26">
        <v>0</v>
      </c>
      <c r="O45" s="26">
        <v>0</v>
      </c>
      <c r="P45" s="25">
        <f t="shared" si="4"/>
        <v>45700</v>
      </c>
    </row>
    <row r="46" spans="1:16" ht="28.5" hidden="1" customHeight="1" x14ac:dyDescent="0.25">
      <c r="A46" s="22" t="s">
        <v>92</v>
      </c>
      <c r="B46" s="22" t="s">
        <v>93</v>
      </c>
      <c r="C46" s="23" t="s">
        <v>94</v>
      </c>
      <c r="D46" s="24" t="s">
        <v>95</v>
      </c>
      <c r="E46" s="25">
        <v>0</v>
      </c>
      <c r="F46" s="41">
        <v>0</v>
      </c>
      <c r="G46" s="26">
        <v>0</v>
      </c>
      <c r="H46" s="26">
        <v>0</v>
      </c>
      <c r="I46" s="26">
        <v>0</v>
      </c>
      <c r="J46" s="25">
        <f t="shared" si="3"/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5">
        <f t="shared" si="4"/>
        <v>0</v>
      </c>
    </row>
    <row r="47" spans="1:16" ht="28.5" hidden="1" customHeight="1" x14ac:dyDescent="0.25">
      <c r="A47" s="43" t="s">
        <v>182</v>
      </c>
      <c r="B47" s="36">
        <v>7321</v>
      </c>
      <c r="C47" s="37" t="s">
        <v>75</v>
      </c>
      <c r="D47" s="39" t="s">
        <v>154</v>
      </c>
      <c r="E47" s="25">
        <v>0</v>
      </c>
      <c r="F47" s="41"/>
      <c r="G47" s="26"/>
      <c r="H47" s="26"/>
      <c r="I47" s="26"/>
      <c r="J47" s="25">
        <f t="shared" si="3"/>
        <v>0</v>
      </c>
      <c r="K47" s="26"/>
      <c r="L47" s="26"/>
      <c r="M47" s="26"/>
      <c r="N47" s="26"/>
      <c r="O47" s="26"/>
      <c r="P47" s="25">
        <f t="shared" si="4"/>
        <v>0</v>
      </c>
    </row>
    <row r="48" spans="1:16" ht="28.5" customHeight="1" x14ac:dyDescent="0.25">
      <c r="A48" s="43" t="s">
        <v>183</v>
      </c>
      <c r="B48" s="36">
        <v>7310</v>
      </c>
      <c r="C48" s="43" t="s">
        <v>75</v>
      </c>
      <c r="D48" s="39" t="s">
        <v>181</v>
      </c>
      <c r="E48" s="25">
        <v>0</v>
      </c>
      <c r="F48" s="41"/>
      <c r="G48" s="26"/>
      <c r="H48" s="26"/>
      <c r="I48" s="26"/>
      <c r="J48" s="25">
        <f t="shared" si="3"/>
        <v>14648</v>
      </c>
      <c r="K48" s="26">
        <v>14648</v>
      </c>
      <c r="L48" s="26"/>
      <c r="M48" s="26"/>
      <c r="N48" s="26"/>
      <c r="O48" s="26">
        <v>14648</v>
      </c>
      <c r="P48" s="25">
        <f t="shared" si="4"/>
        <v>14648</v>
      </c>
    </row>
    <row r="49" spans="1:16" ht="49.5" customHeight="1" x14ac:dyDescent="0.25">
      <c r="A49" s="43" t="s">
        <v>187</v>
      </c>
      <c r="B49" s="36">
        <v>7330</v>
      </c>
      <c r="C49" s="43" t="s">
        <v>75</v>
      </c>
      <c r="D49" s="39" t="s">
        <v>188</v>
      </c>
      <c r="E49" s="25">
        <v>0</v>
      </c>
      <c r="F49" s="41"/>
      <c r="G49" s="26"/>
      <c r="H49" s="26"/>
      <c r="I49" s="26"/>
      <c r="J49" s="25">
        <f t="shared" si="3"/>
        <v>50000</v>
      </c>
      <c r="K49" s="26">
        <v>50000</v>
      </c>
      <c r="L49" s="26"/>
      <c r="M49" s="26"/>
      <c r="N49" s="26"/>
      <c r="O49" s="26">
        <v>50000</v>
      </c>
      <c r="P49" s="25">
        <f t="shared" si="4"/>
        <v>50000</v>
      </c>
    </row>
    <row r="50" spans="1:16" ht="29.25" customHeight="1" x14ac:dyDescent="0.25">
      <c r="A50" s="6" t="s">
        <v>96</v>
      </c>
      <c r="B50" s="7"/>
      <c r="C50" s="8"/>
      <c r="D50" s="9" t="s">
        <v>136</v>
      </c>
      <c r="E50" s="10">
        <f>E51</f>
        <v>36629689</v>
      </c>
      <c r="F50" s="45">
        <f t="shared" ref="F50:O50" si="6">F51</f>
        <v>36629689</v>
      </c>
      <c r="G50" s="10">
        <f t="shared" si="6"/>
        <v>27366529</v>
      </c>
      <c r="H50" s="10">
        <f t="shared" si="6"/>
        <v>1908000</v>
      </c>
      <c r="I50" s="10">
        <f t="shared" si="6"/>
        <v>0</v>
      </c>
      <c r="J50" s="25">
        <f t="shared" si="3"/>
        <v>3330106</v>
      </c>
      <c r="K50" s="10">
        <f t="shared" si="6"/>
        <v>2543323</v>
      </c>
      <c r="L50" s="10">
        <f t="shared" si="6"/>
        <v>786783</v>
      </c>
      <c r="M50" s="10">
        <f t="shared" si="6"/>
        <v>0</v>
      </c>
      <c r="N50" s="10">
        <f t="shared" si="6"/>
        <v>0</v>
      </c>
      <c r="O50" s="10">
        <f t="shared" si="6"/>
        <v>2543323</v>
      </c>
      <c r="P50" s="10">
        <f>E50+J50</f>
        <v>39959795</v>
      </c>
    </row>
    <row r="51" spans="1:16" ht="29.25" customHeight="1" x14ac:dyDescent="0.25">
      <c r="A51" s="6" t="s">
        <v>97</v>
      </c>
      <c r="B51" s="7"/>
      <c r="C51" s="8"/>
      <c r="D51" s="9" t="s">
        <v>136</v>
      </c>
      <c r="E51" s="10">
        <f>E52+E53+E59+E60+E61+E62+E63+E58+E56+E57</f>
        <v>36629689</v>
      </c>
      <c r="F51" s="53">
        <f>F52+F53+F59+F60+F61+F62+F63+F58+F56+F57</f>
        <v>36629689</v>
      </c>
      <c r="G51" s="10">
        <f>G52+G53+G59+G60+G61+G62+G63+G58</f>
        <v>27366529</v>
      </c>
      <c r="H51" s="10">
        <f>H52+H53+H59+H60+H61+H62+H63+H58</f>
        <v>1908000</v>
      </c>
      <c r="I51" s="10">
        <f>I52+I53+I59+I60+I61+I62+I63+I58</f>
        <v>0</v>
      </c>
      <c r="J51" s="25">
        <f>L51+O51</f>
        <v>3330106</v>
      </c>
      <c r="K51" s="10">
        <f>K52+K53+K59+K60+K61+K62+K63+K58+K65+K56+K57+K64</f>
        <v>2543323</v>
      </c>
      <c r="L51" s="10">
        <f t="shared" ref="L51:O51" si="7">L52+L53+L59+L60+L61+L62+L63+L58+L65+L56+L57+L64</f>
        <v>786783</v>
      </c>
      <c r="M51" s="10">
        <f t="shared" si="7"/>
        <v>0</v>
      </c>
      <c r="N51" s="10">
        <f t="shared" si="7"/>
        <v>0</v>
      </c>
      <c r="O51" s="10">
        <f t="shared" si="7"/>
        <v>2543323</v>
      </c>
      <c r="P51" s="10">
        <f>P52+P53+P59+P60+P61+P62+P63+P58+P65+P56+P57+P64</f>
        <v>39959795</v>
      </c>
    </row>
    <row r="52" spans="1:16" x14ac:dyDescent="0.25">
      <c r="A52" s="22" t="s">
        <v>98</v>
      </c>
      <c r="B52" s="22" t="s">
        <v>43</v>
      </c>
      <c r="C52" s="23" t="s">
        <v>99</v>
      </c>
      <c r="D52" s="24" t="s">
        <v>100</v>
      </c>
      <c r="E52" s="25">
        <f>F52+I52</f>
        <v>4894900</v>
      </c>
      <c r="F52" s="41">
        <f>4804153+107000+57747+26000-100000</f>
        <v>4894900</v>
      </c>
      <c r="G52" s="26">
        <f>3401100+107000</f>
        <v>3508100</v>
      </c>
      <c r="H52" s="26">
        <f>324000+8000</f>
        <v>332000</v>
      </c>
      <c r="I52" s="26">
        <v>0</v>
      </c>
      <c r="J52" s="25">
        <f t="shared" si="3"/>
        <v>174000</v>
      </c>
      <c r="K52" s="26">
        <v>15000</v>
      </c>
      <c r="L52" s="26">
        <v>159000</v>
      </c>
      <c r="M52" s="26">
        <v>0</v>
      </c>
      <c r="N52" s="26">
        <v>0</v>
      </c>
      <c r="O52" s="26">
        <v>15000</v>
      </c>
      <c r="P52" s="25">
        <f>E52+J52</f>
        <v>5068900</v>
      </c>
    </row>
    <row r="53" spans="1:16" ht="30.75" customHeight="1" x14ac:dyDescent="0.25">
      <c r="A53" s="27" t="s">
        <v>101</v>
      </c>
      <c r="B53" s="22">
        <v>1021</v>
      </c>
      <c r="C53" s="23" t="s">
        <v>102</v>
      </c>
      <c r="D53" s="24" t="s">
        <v>103</v>
      </c>
      <c r="E53" s="25">
        <f>F53+I53</f>
        <v>9089430</v>
      </c>
      <c r="F53" s="41">
        <f>9154200+100000+70000-50000- 210350+25580</f>
        <v>9089430</v>
      </c>
      <c r="G53" s="26">
        <v>5500000</v>
      </c>
      <c r="H53" s="26">
        <f>1492000+4500+17700</f>
        <v>1514200</v>
      </c>
      <c r="I53" s="26">
        <v>0</v>
      </c>
      <c r="J53" s="25">
        <f t="shared" si="3"/>
        <v>627783</v>
      </c>
      <c r="K53" s="26">
        <f>K55</f>
        <v>0</v>
      </c>
      <c r="L53" s="26">
        <v>627783</v>
      </c>
      <c r="M53" s="26">
        <v>0</v>
      </c>
      <c r="N53" s="26">
        <v>0</v>
      </c>
      <c r="O53" s="26"/>
      <c r="P53" s="25">
        <f t="shared" ref="P53:P65" si="8">E53+J53</f>
        <v>9717213</v>
      </c>
    </row>
    <row r="54" spans="1:16" ht="66.75" customHeight="1" x14ac:dyDescent="0.25">
      <c r="A54" s="15"/>
      <c r="B54" s="11"/>
      <c r="C54" s="12"/>
      <c r="D54" s="13" t="s">
        <v>104</v>
      </c>
      <c r="E54" s="25">
        <f t="shared" ref="E54:E87" si="9">F54+I54</f>
        <v>999200</v>
      </c>
      <c r="F54" s="44">
        <v>999200</v>
      </c>
      <c r="G54" s="14"/>
      <c r="H54" s="14">
        <v>999200</v>
      </c>
      <c r="I54" s="14"/>
      <c r="J54" s="25">
        <f t="shared" si="3"/>
        <v>0</v>
      </c>
      <c r="K54" s="14"/>
      <c r="L54" s="14"/>
      <c r="M54" s="14"/>
      <c r="N54" s="14"/>
      <c r="O54" s="14"/>
      <c r="P54" s="25">
        <f t="shared" si="8"/>
        <v>999200</v>
      </c>
    </row>
    <row r="55" spans="1:16" ht="56.25" hidden="1" customHeight="1" x14ac:dyDescent="0.25">
      <c r="A55" s="11"/>
      <c r="B55" s="11"/>
      <c r="C55" s="12"/>
      <c r="D55" s="13"/>
      <c r="E55" s="25">
        <f t="shared" si="9"/>
        <v>0</v>
      </c>
      <c r="F55" s="44"/>
      <c r="G55" s="14"/>
      <c r="H55" s="14"/>
      <c r="I55" s="14"/>
      <c r="J55" s="25">
        <f t="shared" si="3"/>
        <v>0</v>
      </c>
      <c r="K55" s="14"/>
      <c r="L55" s="14"/>
      <c r="M55" s="14"/>
      <c r="N55" s="14"/>
      <c r="O55" s="14"/>
      <c r="P55" s="25">
        <f t="shared" si="8"/>
        <v>0</v>
      </c>
    </row>
    <row r="56" spans="1:16" ht="56.25" customHeight="1" x14ac:dyDescent="0.25">
      <c r="A56" s="27" t="s">
        <v>156</v>
      </c>
      <c r="B56" s="22">
        <v>1200</v>
      </c>
      <c r="C56" s="27" t="s">
        <v>107</v>
      </c>
      <c r="D56" s="24" t="s">
        <v>157</v>
      </c>
      <c r="E56" s="25">
        <f t="shared" si="9"/>
        <v>35224</v>
      </c>
      <c r="F56" s="44">
        <f>35224</f>
        <v>35224</v>
      </c>
      <c r="G56" s="14"/>
      <c r="H56" s="14"/>
      <c r="I56" s="14"/>
      <c r="J56" s="25">
        <f t="shared" si="3"/>
        <v>17874</v>
      </c>
      <c r="K56" s="14">
        <f>17874</f>
        <v>17874</v>
      </c>
      <c r="L56" s="14"/>
      <c r="M56" s="14"/>
      <c r="N56" s="14"/>
      <c r="O56" s="14">
        <f>17874</f>
        <v>17874</v>
      </c>
      <c r="P56" s="25">
        <f t="shared" si="8"/>
        <v>53098</v>
      </c>
    </row>
    <row r="57" spans="1:16" ht="56.25" customHeight="1" x14ac:dyDescent="0.25">
      <c r="A57" s="56" t="s">
        <v>176</v>
      </c>
      <c r="B57" s="22">
        <v>1210</v>
      </c>
      <c r="C57" s="56" t="s">
        <v>107</v>
      </c>
      <c r="D57" s="24" t="s">
        <v>175</v>
      </c>
      <c r="E57" s="25">
        <f t="shared" si="9"/>
        <v>20052</v>
      </c>
      <c r="F57" s="44">
        <v>20052</v>
      </c>
      <c r="G57" s="14"/>
      <c r="H57" s="14"/>
      <c r="I57" s="14"/>
      <c r="J57" s="25">
        <f t="shared" si="3"/>
        <v>16646</v>
      </c>
      <c r="K57" s="14">
        <v>16646</v>
      </c>
      <c r="L57" s="14"/>
      <c r="M57" s="14"/>
      <c r="N57" s="14"/>
      <c r="O57" s="14">
        <v>16646</v>
      </c>
      <c r="P57" s="25">
        <f t="shared" si="8"/>
        <v>36698</v>
      </c>
    </row>
    <row r="58" spans="1:16" ht="27.75" customHeight="1" x14ac:dyDescent="0.25">
      <c r="A58" s="27" t="s">
        <v>105</v>
      </c>
      <c r="B58" s="22">
        <v>1031</v>
      </c>
      <c r="C58" s="23" t="s">
        <v>102</v>
      </c>
      <c r="D58" s="24" t="s">
        <v>139</v>
      </c>
      <c r="E58" s="25">
        <f t="shared" si="9"/>
        <v>20259200</v>
      </c>
      <c r="F58" s="41">
        <v>20259200</v>
      </c>
      <c r="G58" s="26">
        <v>16600000</v>
      </c>
      <c r="H58" s="26"/>
      <c r="I58" s="26"/>
      <c r="J58" s="25">
        <f t="shared" si="3"/>
        <v>0</v>
      </c>
      <c r="K58" s="26"/>
      <c r="L58" s="26"/>
      <c r="M58" s="26"/>
      <c r="N58" s="26"/>
      <c r="O58" s="26"/>
      <c r="P58" s="25">
        <f t="shared" si="8"/>
        <v>20259200</v>
      </c>
    </row>
    <row r="59" spans="1:16" ht="46.5" hidden="1" customHeight="1" x14ac:dyDescent="0.25">
      <c r="A59" s="22"/>
      <c r="B59" s="22"/>
      <c r="C59" s="23"/>
      <c r="D59" s="24"/>
      <c r="E59" s="25">
        <f t="shared" si="9"/>
        <v>0</v>
      </c>
      <c r="F59" s="41"/>
      <c r="G59" s="26"/>
      <c r="H59" s="26"/>
      <c r="I59" s="26">
        <v>0</v>
      </c>
      <c r="J59" s="25">
        <f t="shared" si="3"/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5">
        <f t="shared" si="8"/>
        <v>0</v>
      </c>
    </row>
    <row r="60" spans="1:16" hidden="1" x14ac:dyDescent="0.25">
      <c r="A60" s="22"/>
      <c r="B60" s="22"/>
      <c r="C60" s="23"/>
      <c r="D60" s="24"/>
      <c r="E60" s="25">
        <f t="shared" si="9"/>
        <v>0</v>
      </c>
      <c r="F60" s="41"/>
      <c r="G60" s="26"/>
      <c r="H60" s="26"/>
      <c r="I60" s="26">
        <v>0</v>
      </c>
      <c r="J60" s="25">
        <f t="shared" si="3"/>
        <v>0</v>
      </c>
      <c r="K60" s="26">
        <v>0</v>
      </c>
      <c r="L60" s="26"/>
      <c r="M60" s="26">
        <v>0</v>
      </c>
      <c r="N60" s="26">
        <v>0</v>
      </c>
      <c r="O60" s="26">
        <v>0</v>
      </c>
      <c r="P60" s="25">
        <f t="shared" si="8"/>
        <v>0</v>
      </c>
    </row>
    <row r="61" spans="1:16" ht="25.5" x14ac:dyDescent="0.25">
      <c r="A61" s="22" t="s">
        <v>106</v>
      </c>
      <c r="B61" s="22">
        <v>1141</v>
      </c>
      <c r="C61" s="23" t="s">
        <v>107</v>
      </c>
      <c r="D61" s="24" t="s">
        <v>108</v>
      </c>
      <c r="E61" s="25">
        <f t="shared" si="9"/>
        <v>903213</v>
      </c>
      <c r="F61" s="41">
        <f>816213+11800+2000+73200</f>
        <v>903213</v>
      </c>
      <c r="G61" s="26">
        <f>584601+60000</f>
        <v>644601</v>
      </c>
      <c r="H61" s="26">
        <f>33000-30000</f>
        <v>3000</v>
      </c>
      <c r="I61" s="26">
        <v>0</v>
      </c>
      <c r="J61" s="25">
        <f t="shared" si="3"/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5">
        <f t="shared" si="8"/>
        <v>903213</v>
      </c>
    </row>
    <row r="62" spans="1:16" ht="21" customHeight="1" x14ac:dyDescent="0.25">
      <c r="A62" s="22" t="s">
        <v>109</v>
      </c>
      <c r="B62" s="22" t="s">
        <v>110</v>
      </c>
      <c r="C62" s="23" t="s">
        <v>111</v>
      </c>
      <c r="D62" s="24" t="s">
        <v>112</v>
      </c>
      <c r="E62" s="25">
        <f t="shared" si="9"/>
        <v>826466</v>
      </c>
      <c r="F62" s="41">
        <f>679810+140056+6600</f>
        <v>826466</v>
      </c>
      <c r="G62" s="26">
        <f>533820+114800</f>
        <v>648620</v>
      </c>
      <c r="H62" s="26">
        <f>26750+4100</f>
        <v>30850</v>
      </c>
      <c r="I62" s="26">
        <v>0</v>
      </c>
      <c r="J62" s="25">
        <f t="shared" si="3"/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5">
        <f t="shared" si="8"/>
        <v>826466</v>
      </c>
    </row>
    <row r="63" spans="1:16" ht="41.25" customHeight="1" x14ac:dyDescent="0.25">
      <c r="A63" s="22" t="s">
        <v>113</v>
      </c>
      <c r="B63" s="22" t="s">
        <v>114</v>
      </c>
      <c r="C63" s="23" t="s">
        <v>115</v>
      </c>
      <c r="D63" s="24" t="s">
        <v>116</v>
      </c>
      <c r="E63" s="25">
        <f t="shared" si="9"/>
        <v>601204</v>
      </c>
      <c r="F63" s="41">
        <f>681004-73200-6600</f>
        <v>601204</v>
      </c>
      <c r="G63" s="26">
        <f>525208-60000</f>
        <v>465208</v>
      </c>
      <c r="H63" s="26">
        <f>20250+7700</f>
        <v>27950</v>
      </c>
      <c r="I63" s="26">
        <v>0</v>
      </c>
      <c r="J63" s="25">
        <f t="shared" si="3"/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5">
        <f t="shared" si="8"/>
        <v>601204</v>
      </c>
    </row>
    <row r="64" spans="1:16" ht="41.25" customHeight="1" x14ac:dyDescent="0.25">
      <c r="A64" s="27" t="s">
        <v>185</v>
      </c>
      <c r="B64" s="22">
        <v>7361</v>
      </c>
      <c r="C64" s="27" t="s">
        <v>82</v>
      </c>
      <c r="D64" s="24" t="s">
        <v>186</v>
      </c>
      <c r="E64" s="25">
        <f t="shared" si="9"/>
        <v>0</v>
      </c>
      <c r="F64" s="41"/>
      <c r="G64" s="26"/>
      <c r="H64" s="26"/>
      <c r="I64" s="26"/>
      <c r="J64" s="25">
        <f t="shared" si="3"/>
        <v>2493803</v>
      </c>
      <c r="K64" s="26">
        <f>1943803+550000</f>
        <v>2493803</v>
      </c>
      <c r="L64" s="26"/>
      <c r="M64" s="26"/>
      <c r="N64" s="26"/>
      <c r="O64" s="26">
        <f>1943803+550000</f>
        <v>2493803</v>
      </c>
      <c r="P64" s="25">
        <f t="shared" si="8"/>
        <v>2493803</v>
      </c>
    </row>
    <row r="65" spans="1:16" ht="21" customHeight="1" x14ac:dyDescent="0.25">
      <c r="A65" s="43" t="s">
        <v>155</v>
      </c>
      <c r="B65" s="36">
        <v>7321</v>
      </c>
      <c r="C65" s="37" t="s">
        <v>75</v>
      </c>
      <c r="D65" s="39" t="s">
        <v>154</v>
      </c>
      <c r="E65" s="25">
        <f t="shared" si="9"/>
        <v>0</v>
      </c>
      <c r="F65" s="41">
        <v>0</v>
      </c>
      <c r="G65" s="26">
        <v>0</v>
      </c>
      <c r="H65" s="26">
        <v>0</v>
      </c>
      <c r="I65" s="26">
        <v>0</v>
      </c>
      <c r="J65" s="25">
        <f>L65+O65</f>
        <v>0</v>
      </c>
      <c r="K65" s="26">
        <f>550000-550000</f>
        <v>0</v>
      </c>
      <c r="L65" s="26">
        <v>0</v>
      </c>
      <c r="M65" s="26">
        <v>0</v>
      </c>
      <c r="N65" s="26">
        <v>0</v>
      </c>
      <c r="O65" s="26">
        <f>550000-550000</f>
        <v>0</v>
      </c>
      <c r="P65" s="25">
        <f t="shared" si="8"/>
        <v>0</v>
      </c>
    </row>
    <row r="66" spans="1:16" ht="24.75" customHeight="1" x14ac:dyDescent="0.25">
      <c r="A66" s="43" t="s">
        <v>158</v>
      </c>
      <c r="B66" s="36"/>
      <c r="C66" s="37"/>
      <c r="D66" s="54" t="s">
        <v>159</v>
      </c>
      <c r="E66" s="25">
        <f>E67</f>
        <v>1060734</v>
      </c>
      <c r="F66" s="25">
        <f t="shared" ref="F66:O66" si="10">F67</f>
        <v>1060734</v>
      </c>
      <c r="G66" s="25">
        <f t="shared" si="10"/>
        <v>413400</v>
      </c>
      <c r="H66" s="25">
        <f t="shared" si="10"/>
        <v>0</v>
      </c>
      <c r="I66" s="25">
        <f t="shared" si="10"/>
        <v>0</v>
      </c>
      <c r="J66" s="25">
        <f t="shared" si="10"/>
        <v>0</v>
      </c>
      <c r="K66" s="25">
        <f t="shared" si="10"/>
        <v>0</v>
      </c>
      <c r="L66" s="25">
        <f t="shared" si="10"/>
        <v>0</v>
      </c>
      <c r="M66" s="25">
        <f t="shared" si="10"/>
        <v>0</v>
      </c>
      <c r="N66" s="25">
        <f t="shared" si="10"/>
        <v>0</v>
      </c>
      <c r="O66" s="25">
        <f t="shared" si="10"/>
        <v>0</v>
      </c>
      <c r="P66" s="25">
        <f t="shared" ref="P66" si="11">P67</f>
        <v>1060734</v>
      </c>
    </row>
    <row r="67" spans="1:16" ht="26.25" customHeight="1" x14ac:dyDescent="0.25">
      <c r="A67" s="43" t="s">
        <v>160</v>
      </c>
      <c r="B67" s="36"/>
      <c r="C67" s="37"/>
      <c r="D67" s="54" t="s">
        <v>161</v>
      </c>
      <c r="E67" s="25">
        <f>E68+E70+E71+E72+E74+E76+E77+E79+E80+E84+E69</f>
        <v>1060734</v>
      </c>
      <c r="F67" s="25">
        <f>F68+F70+F71+F72+F74+F76+F77+F79+F80+F84+F69</f>
        <v>1060734</v>
      </c>
      <c r="G67" s="25">
        <f t="shared" ref="G67:O67" si="12">G68+G70+G71+G72+G74+G76+G77+G79+G80+G84</f>
        <v>413400</v>
      </c>
      <c r="H67" s="25">
        <f t="shared" si="12"/>
        <v>0</v>
      </c>
      <c r="I67" s="25">
        <f t="shared" si="12"/>
        <v>0</v>
      </c>
      <c r="J67" s="25">
        <f t="shared" si="12"/>
        <v>0</v>
      </c>
      <c r="K67" s="25">
        <f t="shared" si="12"/>
        <v>0</v>
      </c>
      <c r="L67" s="25">
        <f t="shared" si="12"/>
        <v>0</v>
      </c>
      <c r="M67" s="25">
        <f t="shared" si="12"/>
        <v>0</v>
      </c>
      <c r="N67" s="25">
        <f t="shared" si="12"/>
        <v>0</v>
      </c>
      <c r="O67" s="25">
        <f t="shared" si="12"/>
        <v>0</v>
      </c>
      <c r="P67" s="25">
        <f>P68+P70+P71+P72+P74+P76+P77+P79+P80+P84+P69</f>
        <v>1060734</v>
      </c>
    </row>
    <row r="68" spans="1:16" ht="41.25" customHeight="1" x14ac:dyDescent="0.25">
      <c r="A68" s="43" t="s">
        <v>162</v>
      </c>
      <c r="B68" s="43" t="s">
        <v>27</v>
      </c>
      <c r="C68" s="43" t="s">
        <v>23</v>
      </c>
      <c r="D68" s="39" t="s">
        <v>121</v>
      </c>
      <c r="E68" s="25">
        <f>F68+I68</f>
        <v>504348</v>
      </c>
      <c r="F68" s="41">
        <f>539484-35136</f>
        <v>504348</v>
      </c>
      <c r="G68" s="26">
        <f>442200-28800</f>
        <v>413400</v>
      </c>
      <c r="H68" s="26"/>
      <c r="I68" s="26"/>
      <c r="J68" s="25">
        <f>L68+O68</f>
        <v>0</v>
      </c>
      <c r="K68" s="26"/>
      <c r="L68" s="26"/>
      <c r="M68" s="26"/>
      <c r="N68" s="26"/>
      <c r="O68" s="26"/>
      <c r="P68" s="25">
        <f>E68+J68</f>
        <v>504348</v>
      </c>
    </row>
    <row r="69" spans="1:16" ht="41.25" customHeight="1" x14ac:dyDescent="0.25">
      <c r="A69" s="35" t="s">
        <v>177</v>
      </c>
      <c r="B69" s="35" t="s">
        <v>178</v>
      </c>
      <c r="C69" s="35" t="s">
        <v>179</v>
      </c>
      <c r="D69" s="38" t="s">
        <v>180</v>
      </c>
      <c r="E69" s="25">
        <f>F69+I69</f>
        <v>351360</v>
      </c>
      <c r="F69" s="41">
        <f>316224+35136</f>
        <v>351360</v>
      </c>
      <c r="G69" s="26">
        <f>288000</f>
        <v>288000</v>
      </c>
      <c r="H69" s="26"/>
      <c r="I69" s="26"/>
      <c r="J69" s="25"/>
      <c r="K69" s="26"/>
      <c r="L69" s="26"/>
      <c r="M69" s="26"/>
      <c r="N69" s="26"/>
      <c r="O69" s="26"/>
      <c r="P69" s="25">
        <f>E69+J69</f>
        <v>351360</v>
      </c>
    </row>
    <row r="70" spans="1:16" ht="41.25" customHeight="1" x14ac:dyDescent="0.25">
      <c r="A70" s="47" t="s">
        <v>165</v>
      </c>
      <c r="B70" s="36">
        <v>3032</v>
      </c>
      <c r="C70" s="43">
        <v>1070</v>
      </c>
      <c r="D70" s="38" t="s">
        <v>147</v>
      </c>
      <c r="E70" s="25">
        <f>F70+I70</f>
        <v>2126</v>
      </c>
      <c r="F70" s="41">
        <v>2126</v>
      </c>
      <c r="G70" s="26"/>
      <c r="H70" s="26"/>
      <c r="I70" s="26"/>
      <c r="J70" s="25"/>
      <c r="K70" s="26"/>
      <c r="L70" s="26"/>
      <c r="M70" s="26"/>
      <c r="N70" s="26"/>
      <c r="O70" s="26"/>
      <c r="P70" s="25">
        <f t="shared" ref="P70:P84" si="13">E70+J70</f>
        <v>2126</v>
      </c>
    </row>
    <row r="71" spans="1:16" ht="41.25" customHeight="1" x14ac:dyDescent="0.25">
      <c r="A71" s="48" t="s">
        <v>166</v>
      </c>
      <c r="B71" s="36" t="s">
        <v>29</v>
      </c>
      <c r="C71" s="37" t="s">
        <v>30</v>
      </c>
      <c r="D71" s="39" t="s">
        <v>31</v>
      </c>
      <c r="E71" s="25">
        <f t="shared" ref="E71:E84" si="14">F71+I71</f>
        <v>77000</v>
      </c>
      <c r="F71" s="41">
        <f>27000+50000</f>
        <v>77000</v>
      </c>
      <c r="G71" s="26"/>
      <c r="H71" s="26"/>
      <c r="I71" s="26"/>
      <c r="J71" s="25"/>
      <c r="K71" s="26"/>
      <c r="L71" s="26"/>
      <c r="M71" s="26"/>
      <c r="N71" s="26"/>
      <c r="O71" s="26"/>
      <c r="P71" s="25">
        <f t="shared" si="13"/>
        <v>77000</v>
      </c>
    </row>
    <row r="72" spans="1:16" ht="41.25" customHeight="1" x14ac:dyDescent="0.25">
      <c r="A72" s="49" t="s">
        <v>167</v>
      </c>
      <c r="B72" s="22" t="s">
        <v>33</v>
      </c>
      <c r="C72" s="23" t="s">
        <v>30</v>
      </c>
      <c r="D72" s="24" t="s">
        <v>34</v>
      </c>
      <c r="E72" s="25">
        <f t="shared" si="14"/>
        <v>2100</v>
      </c>
      <c r="F72" s="41">
        <f>3150-1050</f>
        <v>2100</v>
      </c>
      <c r="G72" s="26"/>
      <c r="H72" s="26"/>
      <c r="I72" s="26"/>
      <c r="J72" s="25"/>
      <c r="K72" s="26"/>
      <c r="L72" s="26"/>
      <c r="M72" s="26"/>
      <c r="N72" s="26"/>
      <c r="O72" s="26"/>
      <c r="P72" s="25">
        <f t="shared" si="13"/>
        <v>2100</v>
      </c>
    </row>
    <row r="73" spans="1:16" ht="52.5" customHeight="1" x14ac:dyDescent="0.25">
      <c r="A73" s="50"/>
      <c r="B73" s="11"/>
      <c r="C73" s="12"/>
      <c r="D73" s="13" t="s">
        <v>35</v>
      </c>
      <c r="E73" s="25">
        <f t="shared" si="14"/>
        <v>2100</v>
      </c>
      <c r="F73" s="44">
        <v>2100</v>
      </c>
      <c r="G73" s="26"/>
      <c r="H73" s="26"/>
      <c r="I73" s="26"/>
      <c r="J73" s="25"/>
      <c r="K73" s="26"/>
      <c r="L73" s="26"/>
      <c r="M73" s="26"/>
      <c r="N73" s="26"/>
      <c r="O73" s="26"/>
      <c r="P73" s="25">
        <f t="shared" si="13"/>
        <v>2100</v>
      </c>
    </row>
    <row r="74" spans="1:16" ht="41.25" customHeight="1" x14ac:dyDescent="0.25">
      <c r="A74" s="49" t="s">
        <v>168</v>
      </c>
      <c r="B74" s="22" t="s">
        <v>37</v>
      </c>
      <c r="C74" s="23" t="s">
        <v>38</v>
      </c>
      <c r="D74" s="24" t="s">
        <v>39</v>
      </c>
      <c r="E74" s="25">
        <f t="shared" si="14"/>
        <v>3600</v>
      </c>
      <c r="F74" s="41">
        <f>5400-1800</f>
        <v>3600</v>
      </c>
      <c r="G74" s="26"/>
      <c r="H74" s="26"/>
      <c r="I74" s="26"/>
      <c r="J74" s="25"/>
      <c r="K74" s="26"/>
      <c r="L74" s="26"/>
      <c r="M74" s="26"/>
      <c r="N74" s="26"/>
      <c r="O74" s="26"/>
      <c r="P74" s="25">
        <f t="shared" si="13"/>
        <v>3600</v>
      </c>
    </row>
    <row r="75" spans="1:16" ht="66" customHeight="1" x14ac:dyDescent="0.25">
      <c r="A75" s="49"/>
      <c r="B75" s="22"/>
      <c r="C75" s="23"/>
      <c r="D75" s="13" t="s">
        <v>40</v>
      </c>
      <c r="E75" s="25">
        <f t="shared" si="14"/>
        <v>3600</v>
      </c>
      <c r="F75" s="44">
        <v>3600</v>
      </c>
      <c r="G75" s="26"/>
      <c r="H75" s="26"/>
      <c r="I75" s="26"/>
      <c r="J75" s="25"/>
      <c r="K75" s="26"/>
      <c r="L75" s="26"/>
      <c r="M75" s="26"/>
      <c r="N75" s="26"/>
      <c r="O75" s="26"/>
      <c r="P75" s="25">
        <f t="shared" si="13"/>
        <v>3600</v>
      </c>
    </row>
    <row r="76" spans="1:16" ht="71.25" customHeight="1" x14ac:dyDescent="0.25">
      <c r="A76" s="51" t="s">
        <v>169</v>
      </c>
      <c r="B76" s="27" t="s">
        <v>148</v>
      </c>
      <c r="C76" s="27" t="s">
        <v>43</v>
      </c>
      <c r="D76" s="13" t="s">
        <v>149</v>
      </c>
      <c r="E76" s="25">
        <f t="shared" si="14"/>
        <v>39000</v>
      </c>
      <c r="F76" s="44">
        <v>39000</v>
      </c>
      <c r="G76" s="26"/>
      <c r="H76" s="26"/>
      <c r="I76" s="26"/>
      <c r="J76" s="25"/>
      <c r="K76" s="26"/>
      <c r="L76" s="26"/>
      <c r="M76" s="26"/>
      <c r="N76" s="26"/>
      <c r="O76" s="26"/>
      <c r="P76" s="25">
        <f t="shared" si="13"/>
        <v>39000</v>
      </c>
    </row>
    <row r="77" spans="1:16" ht="54.75" customHeight="1" x14ac:dyDescent="0.25">
      <c r="A77" s="49" t="s">
        <v>170</v>
      </c>
      <c r="B77" s="22" t="s">
        <v>42</v>
      </c>
      <c r="C77" s="23" t="s">
        <v>43</v>
      </c>
      <c r="D77" s="24" t="s">
        <v>44</v>
      </c>
      <c r="E77" s="25">
        <f t="shared" si="14"/>
        <v>2300</v>
      </c>
      <c r="F77" s="41">
        <f>3450-1150</f>
        <v>2300</v>
      </c>
      <c r="G77" s="26"/>
      <c r="H77" s="26"/>
      <c r="I77" s="26"/>
      <c r="J77" s="25"/>
      <c r="K77" s="26"/>
      <c r="L77" s="26"/>
      <c r="M77" s="26"/>
      <c r="N77" s="26"/>
      <c r="O77" s="26"/>
      <c r="P77" s="25">
        <f t="shared" si="13"/>
        <v>2300</v>
      </c>
    </row>
    <row r="78" spans="1:16" ht="90" customHeight="1" x14ac:dyDescent="0.25">
      <c r="A78" s="50"/>
      <c r="B78" s="11"/>
      <c r="C78" s="12"/>
      <c r="D78" s="13" t="s">
        <v>45</v>
      </c>
      <c r="E78" s="25">
        <f t="shared" si="14"/>
        <v>2300</v>
      </c>
      <c r="F78" s="44">
        <v>2300</v>
      </c>
      <c r="G78" s="26"/>
      <c r="H78" s="26"/>
      <c r="I78" s="26"/>
      <c r="J78" s="25"/>
      <c r="K78" s="26"/>
      <c r="L78" s="26"/>
      <c r="M78" s="26"/>
      <c r="N78" s="26"/>
      <c r="O78" s="26"/>
      <c r="P78" s="25">
        <f t="shared" si="13"/>
        <v>2300</v>
      </c>
    </row>
    <row r="79" spans="1:16" ht="65.25" customHeight="1" x14ac:dyDescent="0.25">
      <c r="A79" s="55" t="s">
        <v>171</v>
      </c>
      <c r="B79" s="22">
        <v>3180</v>
      </c>
      <c r="C79" s="27">
        <v>1060</v>
      </c>
      <c r="D79" s="24" t="s">
        <v>150</v>
      </c>
      <c r="E79" s="25">
        <f t="shared" si="14"/>
        <v>4000</v>
      </c>
      <c r="F79" s="44">
        <v>4000</v>
      </c>
      <c r="G79" s="26"/>
      <c r="H79" s="26"/>
      <c r="I79" s="26"/>
      <c r="J79" s="25"/>
      <c r="K79" s="26"/>
      <c r="L79" s="26"/>
      <c r="M79" s="26"/>
      <c r="N79" s="26"/>
      <c r="O79" s="26"/>
      <c r="P79" s="25">
        <f t="shared" si="13"/>
        <v>4000</v>
      </c>
    </row>
    <row r="80" spans="1:16" ht="40.5" customHeight="1" x14ac:dyDescent="0.25">
      <c r="A80" s="49" t="s">
        <v>172</v>
      </c>
      <c r="B80" s="22" t="s">
        <v>47</v>
      </c>
      <c r="C80" s="23" t="s">
        <v>38</v>
      </c>
      <c r="D80" s="24" t="s">
        <v>48</v>
      </c>
      <c r="E80" s="25">
        <f t="shared" si="14"/>
        <v>2900</v>
      </c>
      <c r="F80" s="41">
        <f>4350-1450</f>
        <v>2900</v>
      </c>
      <c r="G80" s="26"/>
      <c r="H80" s="26"/>
      <c r="I80" s="26"/>
      <c r="J80" s="25"/>
      <c r="K80" s="26"/>
      <c r="L80" s="26"/>
      <c r="M80" s="26"/>
      <c r="N80" s="26"/>
      <c r="O80" s="26"/>
      <c r="P80" s="25">
        <f t="shared" si="13"/>
        <v>2900</v>
      </c>
    </row>
    <row r="81" spans="1:16" ht="41.25" hidden="1" customHeight="1" x14ac:dyDescent="0.25">
      <c r="A81" s="11"/>
      <c r="B81" s="11"/>
      <c r="C81" s="12"/>
      <c r="D81" s="13" t="s">
        <v>49</v>
      </c>
      <c r="E81" s="25">
        <f t="shared" si="14"/>
        <v>0</v>
      </c>
      <c r="F81" s="44"/>
      <c r="G81" s="26"/>
      <c r="H81" s="26"/>
      <c r="I81" s="26"/>
      <c r="J81" s="25"/>
      <c r="K81" s="26"/>
      <c r="L81" s="26"/>
      <c r="M81" s="26"/>
      <c r="N81" s="26"/>
      <c r="O81" s="26"/>
      <c r="P81" s="25">
        <f t="shared" si="13"/>
        <v>0</v>
      </c>
    </row>
    <row r="82" spans="1:16" ht="63" customHeight="1" x14ac:dyDescent="0.25">
      <c r="A82" s="11"/>
      <c r="B82" s="11"/>
      <c r="C82" s="12"/>
      <c r="D82" s="13" t="s">
        <v>50</v>
      </c>
      <c r="E82" s="25">
        <f t="shared" si="14"/>
        <v>2900</v>
      </c>
      <c r="F82" s="44">
        <v>2900</v>
      </c>
      <c r="G82" s="26"/>
      <c r="H82" s="26"/>
      <c r="I82" s="26"/>
      <c r="J82" s="25"/>
      <c r="K82" s="26"/>
      <c r="L82" s="26"/>
      <c r="M82" s="26"/>
      <c r="N82" s="26"/>
      <c r="O82" s="26"/>
      <c r="P82" s="25">
        <f t="shared" si="13"/>
        <v>2900</v>
      </c>
    </row>
    <row r="83" spans="1:16" ht="41.25" hidden="1" customHeight="1" x14ac:dyDescent="0.25">
      <c r="A83" s="22" t="s">
        <v>51</v>
      </c>
      <c r="B83" s="22" t="s">
        <v>52</v>
      </c>
      <c r="C83" s="23" t="s">
        <v>53</v>
      </c>
      <c r="D83" s="24" t="s">
        <v>54</v>
      </c>
      <c r="E83" s="25">
        <f t="shared" si="14"/>
        <v>0</v>
      </c>
      <c r="F83" s="41"/>
      <c r="G83" s="26"/>
      <c r="H83" s="26"/>
      <c r="I83" s="26"/>
      <c r="J83" s="25"/>
      <c r="K83" s="26"/>
      <c r="L83" s="26"/>
      <c r="M83" s="26"/>
      <c r="N83" s="26"/>
      <c r="O83" s="26"/>
      <c r="P83" s="25">
        <f t="shared" si="13"/>
        <v>0</v>
      </c>
    </row>
    <row r="84" spans="1:16" ht="41.25" customHeight="1" x14ac:dyDescent="0.25">
      <c r="A84" s="49" t="s">
        <v>173</v>
      </c>
      <c r="B84" s="22" t="s">
        <v>56</v>
      </c>
      <c r="C84" s="23" t="s">
        <v>57</v>
      </c>
      <c r="D84" s="24" t="s">
        <v>58</v>
      </c>
      <c r="E84" s="25">
        <f t="shared" si="14"/>
        <v>72000</v>
      </c>
      <c r="F84" s="41">
        <v>72000</v>
      </c>
      <c r="G84" s="26"/>
      <c r="H84" s="26"/>
      <c r="I84" s="26"/>
      <c r="J84" s="25"/>
      <c r="K84" s="26"/>
      <c r="L84" s="26"/>
      <c r="M84" s="26"/>
      <c r="N84" s="26"/>
      <c r="O84" s="26"/>
      <c r="P84" s="25">
        <f t="shared" si="13"/>
        <v>72000</v>
      </c>
    </row>
    <row r="85" spans="1:16" ht="18" customHeight="1" x14ac:dyDescent="0.25">
      <c r="A85" s="27" t="s">
        <v>142</v>
      </c>
      <c r="B85" s="27"/>
      <c r="C85" s="23"/>
      <c r="D85" s="40" t="s">
        <v>141</v>
      </c>
      <c r="E85" s="42">
        <f t="shared" ref="E85:I86" si="15">E86</f>
        <v>554440</v>
      </c>
      <c r="F85" s="41">
        <f t="shared" si="15"/>
        <v>554440</v>
      </c>
      <c r="G85" s="42">
        <f t="shared" si="15"/>
        <v>428650</v>
      </c>
      <c r="H85" s="42">
        <f t="shared" si="15"/>
        <v>6500</v>
      </c>
      <c r="I85" s="26">
        <f t="shared" si="15"/>
        <v>0</v>
      </c>
      <c r="J85" s="25">
        <f t="shared" si="3"/>
        <v>0</v>
      </c>
      <c r="K85" s="26"/>
      <c r="L85" s="26"/>
      <c r="M85" s="26"/>
      <c r="N85" s="26"/>
      <c r="O85" s="26"/>
      <c r="P85" s="25">
        <f>E85+J85</f>
        <v>554440</v>
      </c>
    </row>
    <row r="86" spans="1:16" ht="21" customHeight="1" x14ac:dyDescent="0.25">
      <c r="A86" s="27" t="s">
        <v>144</v>
      </c>
      <c r="B86" s="27"/>
      <c r="C86" s="23"/>
      <c r="D86" s="40" t="s">
        <v>141</v>
      </c>
      <c r="E86" s="42">
        <f t="shared" si="15"/>
        <v>554440</v>
      </c>
      <c r="F86" s="41">
        <f t="shared" si="15"/>
        <v>554440</v>
      </c>
      <c r="G86" s="42">
        <f t="shared" si="15"/>
        <v>428650</v>
      </c>
      <c r="H86" s="42">
        <f t="shared" si="15"/>
        <v>6500</v>
      </c>
      <c r="I86" s="26">
        <f t="shared" si="15"/>
        <v>0</v>
      </c>
      <c r="J86" s="25">
        <f t="shared" si="3"/>
        <v>0</v>
      </c>
      <c r="K86" s="26"/>
      <c r="L86" s="26"/>
      <c r="M86" s="26"/>
      <c r="N86" s="26"/>
      <c r="O86" s="26"/>
      <c r="P86" s="25">
        <f t="shared" ref="P86:P91" si="16">E86+J86</f>
        <v>554440</v>
      </c>
    </row>
    <row r="87" spans="1:16" ht="45.75" customHeight="1" x14ac:dyDescent="0.25">
      <c r="A87" s="27" t="s">
        <v>143</v>
      </c>
      <c r="B87" s="27" t="s">
        <v>27</v>
      </c>
      <c r="C87" s="27" t="s">
        <v>23</v>
      </c>
      <c r="D87" s="54" t="s">
        <v>121</v>
      </c>
      <c r="E87" s="41">
        <f t="shared" si="9"/>
        <v>554440</v>
      </c>
      <c r="F87" s="52">
        <f>678440-120000-4000</f>
        <v>554440</v>
      </c>
      <c r="G87" s="26">
        <f>527000-98350</f>
        <v>428650</v>
      </c>
      <c r="H87" s="26">
        <f>10500-4000</f>
        <v>6500</v>
      </c>
      <c r="I87" s="26">
        <v>0</v>
      </c>
      <c r="J87" s="25">
        <f t="shared" si="3"/>
        <v>0</v>
      </c>
      <c r="K87" s="26"/>
      <c r="L87" s="26"/>
      <c r="M87" s="26"/>
      <c r="N87" s="26"/>
      <c r="O87" s="26"/>
      <c r="P87" s="25">
        <f t="shared" si="16"/>
        <v>554440</v>
      </c>
    </row>
    <row r="88" spans="1:16" x14ac:dyDescent="0.25">
      <c r="A88" s="6" t="s">
        <v>117</v>
      </c>
      <c r="B88" s="7"/>
      <c r="C88" s="8"/>
      <c r="D88" s="9" t="s">
        <v>118</v>
      </c>
      <c r="E88" s="10">
        <f>E89</f>
        <v>3818276</v>
      </c>
      <c r="F88" s="45">
        <f t="shared" ref="F88:O88" si="17">F89</f>
        <v>3798276</v>
      </c>
      <c r="G88" s="10">
        <f t="shared" si="17"/>
        <v>461475</v>
      </c>
      <c r="H88" s="10">
        <f t="shared" si="17"/>
        <v>6500</v>
      </c>
      <c r="I88" s="10">
        <f t="shared" si="17"/>
        <v>0</v>
      </c>
      <c r="J88" s="25">
        <f t="shared" si="3"/>
        <v>0</v>
      </c>
      <c r="K88" s="10">
        <f t="shared" si="17"/>
        <v>0</v>
      </c>
      <c r="L88" s="10">
        <f t="shared" si="17"/>
        <v>0</v>
      </c>
      <c r="M88" s="10">
        <f t="shared" si="17"/>
        <v>0</v>
      </c>
      <c r="N88" s="10">
        <f t="shared" si="17"/>
        <v>0</v>
      </c>
      <c r="O88" s="10">
        <f t="shared" si="17"/>
        <v>0</v>
      </c>
      <c r="P88" s="10">
        <f>E88+J88</f>
        <v>3818276</v>
      </c>
    </row>
    <row r="89" spans="1:16" x14ac:dyDescent="0.25">
      <c r="A89" s="6" t="s">
        <v>119</v>
      </c>
      <c r="B89" s="7"/>
      <c r="C89" s="8"/>
      <c r="D89" s="9" t="s">
        <v>118</v>
      </c>
      <c r="E89" s="10">
        <f>E90+E91+E94+E92</f>
        <v>3818276</v>
      </c>
      <c r="F89" s="45">
        <f t="shared" ref="F89:O89" si="18">F90+F91+F94+F92</f>
        <v>3798276</v>
      </c>
      <c r="G89" s="10">
        <f>G90+G91+G94+G92</f>
        <v>461475</v>
      </c>
      <c r="H89" s="10">
        <f t="shared" si="18"/>
        <v>6500</v>
      </c>
      <c r="I89" s="10">
        <f t="shared" si="18"/>
        <v>0</v>
      </c>
      <c r="J89" s="25">
        <f t="shared" si="3"/>
        <v>0</v>
      </c>
      <c r="K89" s="10">
        <f t="shared" si="18"/>
        <v>0</v>
      </c>
      <c r="L89" s="10">
        <f t="shared" si="18"/>
        <v>0</v>
      </c>
      <c r="M89" s="10">
        <f t="shared" si="18"/>
        <v>0</v>
      </c>
      <c r="N89" s="10">
        <f t="shared" si="18"/>
        <v>0</v>
      </c>
      <c r="O89" s="10">
        <f t="shared" si="18"/>
        <v>0</v>
      </c>
      <c r="P89" s="10">
        <f>E89+J89</f>
        <v>3818276</v>
      </c>
    </row>
    <row r="90" spans="1:16" ht="49.5" customHeight="1" x14ac:dyDescent="0.25">
      <c r="A90" s="22" t="s">
        <v>120</v>
      </c>
      <c r="B90" s="22" t="s">
        <v>27</v>
      </c>
      <c r="C90" s="23" t="s">
        <v>23</v>
      </c>
      <c r="D90" s="24" t="s">
        <v>121</v>
      </c>
      <c r="E90" s="25">
        <f>F90+I90</f>
        <v>599440</v>
      </c>
      <c r="F90" s="52">
        <f>683440-80000-4000</f>
        <v>599440</v>
      </c>
      <c r="G90" s="26">
        <f>527000-65525</f>
        <v>461475</v>
      </c>
      <c r="H90" s="26">
        <f>10500-4000</f>
        <v>6500</v>
      </c>
      <c r="I90" s="26">
        <v>0</v>
      </c>
      <c r="J90" s="25">
        <f t="shared" si="3"/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5">
        <f t="shared" si="16"/>
        <v>599440</v>
      </c>
    </row>
    <row r="91" spans="1:16" x14ac:dyDescent="0.25">
      <c r="A91" s="22" t="s">
        <v>122</v>
      </c>
      <c r="B91" s="22" t="s">
        <v>123</v>
      </c>
      <c r="C91" s="23" t="s">
        <v>26</v>
      </c>
      <c r="D91" s="24" t="s">
        <v>124</v>
      </c>
      <c r="E91" s="25">
        <v>20000</v>
      </c>
      <c r="F91" s="41">
        <v>0</v>
      </c>
      <c r="G91" s="26">
        <v>0</v>
      </c>
      <c r="H91" s="26">
        <v>0</v>
      </c>
      <c r="I91" s="26">
        <v>0</v>
      </c>
      <c r="J91" s="25">
        <f t="shared" si="3"/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5">
        <f t="shared" si="16"/>
        <v>20000</v>
      </c>
    </row>
    <row r="92" spans="1:16" ht="69.75" customHeight="1" x14ac:dyDescent="0.25">
      <c r="A92" s="36">
        <v>3719430</v>
      </c>
      <c r="B92" s="36">
        <v>9430</v>
      </c>
      <c r="C92" s="37" t="s">
        <v>25</v>
      </c>
      <c r="D92" s="39" t="s">
        <v>125</v>
      </c>
      <c r="E92" s="25">
        <f>F92+I92</f>
        <v>55800</v>
      </c>
      <c r="F92" s="41">
        <v>55800</v>
      </c>
      <c r="G92" s="26"/>
      <c r="H92" s="26"/>
      <c r="I92" s="26"/>
      <c r="J92" s="25">
        <f t="shared" si="3"/>
        <v>0</v>
      </c>
      <c r="K92" s="26"/>
      <c r="L92" s="26"/>
      <c r="M92" s="26"/>
      <c r="N92" s="26"/>
      <c r="O92" s="26"/>
      <c r="P92" s="25">
        <f>E92</f>
        <v>55800</v>
      </c>
    </row>
    <row r="93" spans="1:16" ht="60.75" customHeight="1" x14ac:dyDescent="0.25">
      <c r="A93" s="22"/>
      <c r="B93" s="22"/>
      <c r="C93" s="23"/>
      <c r="D93" s="13" t="s">
        <v>126</v>
      </c>
      <c r="E93" s="25">
        <f>F93+I93</f>
        <v>55800</v>
      </c>
      <c r="F93" s="44">
        <v>55800</v>
      </c>
      <c r="G93" s="26"/>
      <c r="H93" s="26"/>
      <c r="I93" s="26"/>
      <c r="J93" s="25">
        <f t="shared" si="3"/>
        <v>0</v>
      </c>
      <c r="K93" s="26"/>
      <c r="L93" s="26"/>
      <c r="M93" s="26"/>
      <c r="N93" s="26"/>
      <c r="O93" s="26"/>
      <c r="P93" s="25">
        <f>E93</f>
        <v>55800</v>
      </c>
    </row>
    <row r="94" spans="1:16" ht="18.75" customHeight="1" x14ac:dyDescent="0.25">
      <c r="A94" s="22" t="s">
        <v>127</v>
      </c>
      <c r="B94" s="22" t="s">
        <v>128</v>
      </c>
      <c r="C94" s="23" t="s">
        <v>25</v>
      </c>
      <c r="D94" s="24" t="s">
        <v>129</v>
      </c>
      <c r="E94" s="25">
        <f>F94+I94</f>
        <v>3143036</v>
      </c>
      <c r="F94" s="26">
        <f>855500+25000+10000+1275971+137143+578555+430965+35000+111126-316224</f>
        <v>3143036</v>
      </c>
      <c r="G94" s="26">
        <v>0</v>
      </c>
      <c r="H94" s="26">
        <v>0</v>
      </c>
      <c r="I94" s="26">
        <v>0</v>
      </c>
      <c r="J94" s="25">
        <f t="shared" si="3"/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5">
        <f>E94+J94</f>
        <v>3143036</v>
      </c>
    </row>
    <row r="95" spans="1:16" x14ac:dyDescent="0.25">
      <c r="A95" s="16" t="s">
        <v>130</v>
      </c>
      <c r="B95" s="17" t="s">
        <v>130</v>
      </c>
      <c r="C95" s="18" t="s">
        <v>130</v>
      </c>
      <c r="D95" s="19" t="s">
        <v>131</v>
      </c>
      <c r="E95" s="10">
        <f>E88+E50+E15+E85+E66</f>
        <v>53115588</v>
      </c>
      <c r="F95" s="10">
        <f>F88+F50+F15+F85+F66</f>
        <v>53095588</v>
      </c>
      <c r="G95" s="10">
        <f t="shared" ref="G95:O95" si="19">G88+G50+G15+G85+G66</f>
        <v>36100086</v>
      </c>
      <c r="H95" s="10">
        <f t="shared" si="19"/>
        <v>2781950</v>
      </c>
      <c r="I95" s="10">
        <f t="shared" si="19"/>
        <v>0</v>
      </c>
      <c r="J95" s="10">
        <f t="shared" si="19"/>
        <v>4173254</v>
      </c>
      <c r="K95" s="10">
        <f>K88+K50+K15+K85+K66</f>
        <v>3207971</v>
      </c>
      <c r="L95" s="10">
        <f t="shared" si="19"/>
        <v>965283</v>
      </c>
      <c r="M95" s="10">
        <f t="shared" si="19"/>
        <v>0</v>
      </c>
      <c r="N95" s="10">
        <f t="shared" si="19"/>
        <v>0</v>
      </c>
      <c r="O95" s="10">
        <f t="shared" si="19"/>
        <v>3207971</v>
      </c>
      <c r="P95" s="10">
        <f>P88+P50+P15+P85+P66</f>
        <v>57288842</v>
      </c>
    </row>
    <row r="96" spans="1:16" x14ac:dyDescent="0.25">
      <c r="A96" s="28"/>
      <c r="B96" s="28"/>
      <c r="C96" s="28"/>
      <c r="D96" s="28"/>
      <c r="E96" s="29"/>
      <c r="F96" s="28"/>
      <c r="G96" s="28"/>
      <c r="H96" s="30"/>
      <c r="I96" s="28"/>
      <c r="J96" s="28"/>
      <c r="K96" s="28"/>
      <c r="L96" s="28"/>
      <c r="M96" s="28"/>
      <c r="N96" s="28"/>
      <c r="O96" s="28"/>
      <c r="P96" s="28"/>
    </row>
    <row r="97" spans="1:16" x14ac:dyDescent="0.25">
      <c r="A97" s="31"/>
      <c r="B97" s="31"/>
      <c r="C97" s="31"/>
      <c r="D97" s="31"/>
      <c r="E97" s="29"/>
      <c r="F97" s="31"/>
      <c r="G97" s="31"/>
      <c r="H97" s="31"/>
      <c r="I97" s="31"/>
      <c r="J97" s="32"/>
      <c r="K97" s="31"/>
      <c r="L97" s="31"/>
      <c r="M97" s="31"/>
      <c r="N97" s="31"/>
      <c r="O97" s="31"/>
      <c r="P97" s="32"/>
    </row>
    <row r="98" spans="1:16" x14ac:dyDescent="0.25">
      <c r="B98" s="21" t="s">
        <v>132</v>
      </c>
      <c r="E98" s="20"/>
      <c r="I98" s="21" t="s">
        <v>138</v>
      </c>
    </row>
  </sheetData>
  <mergeCells count="25"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2021-05-12T07:07:04Z</dcterms:modified>
</cp:coreProperties>
</file>