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Робочий стіл 2025\КНП Жидачівська МЛ 2025\ФінПлан 2025\ФінПлан 2025 Зміни 1\"/>
    </mc:Choice>
  </mc:AlternateContent>
  <xr:revisionPtr revIDLastSave="0" documentId="13_ncr:1_{AAE80E9F-3B3D-4EC0-B0B7-89FFF08AB2B9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Доходи НСЗУ" sheetId="1" r:id="rId1"/>
    <sheet name="Інші доходи" sheetId="2" r:id="rId2"/>
    <sheet name="Всього доходи" sheetId="3" r:id="rId3"/>
    <sheet name="МедПрод" sheetId="4" r:id="rId4"/>
    <sheet name="Видатки" sheetId="5" r:id="rId5"/>
    <sheet name="ФінПлан" sheetId="6" r:id="rId6"/>
  </sheets>
  <externalReferences>
    <externalReference r:id="rId7"/>
    <externalReference r:id="rId8"/>
    <externalReference r:id="rId9"/>
  </externalReferences>
  <definedNames>
    <definedName name="_xlnm.Print_Titles" localSheetId="5">ФінПлан!$31:$33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6" l="1"/>
  <c r="C42" i="3"/>
  <c r="C14" i="2"/>
  <c r="D38" i="6" l="1"/>
  <c r="D37" i="6"/>
  <c r="D36" i="6"/>
  <c r="G71" i="6" l="1"/>
  <c r="H71" i="6"/>
  <c r="I71" i="6"/>
  <c r="F71" i="6"/>
  <c r="B47" i="5" l="1"/>
  <c r="B48" i="5"/>
  <c r="G73" i="6"/>
  <c r="H73" i="6"/>
  <c r="I73" i="6"/>
  <c r="F73" i="6"/>
  <c r="G72" i="6"/>
  <c r="H72" i="6"/>
  <c r="I72" i="6"/>
  <c r="F72" i="6"/>
  <c r="I69" i="6"/>
  <c r="G69" i="6"/>
  <c r="H69" i="6"/>
  <c r="F69" i="6"/>
  <c r="I68" i="6"/>
  <c r="F68" i="6"/>
  <c r="G67" i="6"/>
  <c r="H67" i="6"/>
  <c r="I67" i="6"/>
  <c r="F67" i="6"/>
  <c r="F61" i="6"/>
  <c r="G61" i="6"/>
  <c r="H61" i="6"/>
  <c r="I61" i="6"/>
  <c r="F62" i="6"/>
  <c r="G62" i="6"/>
  <c r="H62" i="6"/>
  <c r="I62" i="6"/>
  <c r="F64" i="6"/>
  <c r="G64" i="6"/>
  <c r="H64" i="6"/>
  <c r="I64" i="6"/>
  <c r="G60" i="6"/>
  <c r="H60" i="6"/>
  <c r="I60" i="6"/>
  <c r="F60" i="6"/>
  <c r="G58" i="6"/>
  <c r="H58" i="6"/>
  <c r="I58" i="6"/>
  <c r="F58" i="6"/>
  <c r="F56" i="6"/>
  <c r="F55" i="6"/>
  <c r="I54" i="6"/>
  <c r="G54" i="6"/>
  <c r="H54" i="6"/>
  <c r="F54" i="6"/>
  <c r="G53" i="6"/>
  <c r="H53" i="6"/>
  <c r="I53" i="6"/>
  <c r="F53" i="6"/>
  <c r="G52" i="6"/>
  <c r="H52" i="6"/>
  <c r="I52" i="6"/>
  <c r="F52" i="6"/>
  <c r="G36" i="6" l="1"/>
  <c r="H36" i="6"/>
  <c r="I36" i="6"/>
  <c r="F36" i="6"/>
  <c r="D46" i="3"/>
  <c r="E46" i="3"/>
  <c r="F46" i="3"/>
  <c r="C46" i="3"/>
  <c r="D40" i="3"/>
  <c r="E40" i="3"/>
  <c r="F40" i="3"/>
  <c r="C40" i="3"/>
  <c r="C36" i="3"/>
  <c r="D36" i="3"/>
  <c r="E36" i="3"/>
  <c r="F36" i="3"/>
  <c r="C37" i="3"/>
  <c r="D37" i="3"/>
  <c r="E37" i="3"/>
  <c r="F37" i="3"/>
  <c r="D35" i="3"/>
  <c r="E35" i="3"/>
  <c r="F35" i="3"/>
  <c r="C35" i="3"/>
  <c r="D32" i="3"/>
  <c r="E32" i="3"/>
  <c r="F32" i="3"/>
  <c r="C32" i="3"/>
  <c r="D30" i="3"/>
  <c r="E30" i="3"/>
  <c r="F30" i="3"/>
  <c r="C30" i="3"/>
  <c r="D28" i="3"/>
  <c r="E28" i="3"/>
  <c r="F28" i="3"/>
  <c r="C28" i="3"/>
  <c r="D26" i="3"/>
  <c r="E26" i="3"/>
  <c r="F26" i="3"/>
  <c r="C26" i="3"/>
  <c r="D24" i="3"/>
  <c r="E24" i="3"/>
  <c r="F24" i="3"/>
  <c r="C24" i="3"/>
  <c r="D22" i="3"/>
  <c r="E22" i="3"/>
  <c r="F22" i="3"/>
  <c r="C22" i="3"/>
  <c r="D20" i="3"/>
  <c r="E20" i="3"/>
  <c r="F20" i="3"/>
  <c r="C20" i="3"/>
  <c r="D18" i="3"/>
  <c r="E18" i="3"/>
  <c r="F18" i="3"/>
  <c r="C18" i="3"/>
  <c r="D16" i="3"/>
  <c r="E16" i="3"/>
  <c r="F16" i="3"/>
  <c r="C16" i="3"/>
  <c r="F14" i="3"/>
  <c r="D14" i="3"/>
  <c r="E14" i="3"/>
  <c r="C14" i="3"/>
  <c r="D12" i="3"/>
  <c r="E12" i="3"/>
  <c r="F12" i="3"/>
  <c r="C12" i="3"/>
  <c r="D10" i="3"/>
  <c r="E10" i="3"/>
  <c r="F10" i="3"/>
  <c r="C10" i="3"/>
  <c r="D8" i="3"/>
  <c r="E8" i="3"/>
  <c r="F8" i="3"/>
  <c r="C8" i="3"/>
  <c r="I37" i="6"/>
  <c r="G37" i="6"/>
  <c r="H37" i="6"/>
  <c r="F37" i="6"/>
  <c r="G90" i="6"/>
  <c r="I90" i="6"/>
  <c r="E89" i="6"/>
  <c r="G89" i="6"/>
  <c r="H89" i="6"/>
  <c r="I89" i="6"/>
  <c r="F89" i="6"/>
  <c r="G88" i="6"/>
  <c r="H88" i="6"/>
  <c r="I88" i="6"/>
  <c r="F88" i="6"/>
  <c r="H87" i="6"/>
  <c r="I87" i="6"/>
  <c r="F87" i="6"/>
  <c r="G85" i="6"/>
  <c r="H85" i="6"/>
  <c r="I85" i="6"/>
  <c r="F85" i="6"/>
  <c r="H86" i="6"/>
  <c r="I86" i="6"/>
  <c r="I42" i="6" l="1"/>
  <c r="G42" i="6"/>
  <c r="H42" i="6"/>
  <c r="B51" i="5" l="1"/>
  <c r="G17" i="4"/>
  <c r="C121" i="5"/>
  <c r="B75" i="5" l="1"/>
  <c r="C125" i="5"/>
  <c r="D125" i="5"/>
  <c r="E125" i="5"/>
  <c r="F125" i="5"/>
  <c r="B126" i="5"/>
  <c r="D111" i="5"/>
  <c r="E111" i="5"/>
  <c r="F111" i="5"/>
  <c r="C111" i="5"/>
  <c r="B124" i="5"/>
  <c r="F42" i="6"/>
  <c r="C10" i="2"/>
  <c r="E7" i="1"/>
  <c r="F7" i="1"/>
  <c r="G7" i="1"/>
  <c r="D7" i="1"/>
  <c r="D74" i="1"/>
  <c r="C74" i="1"/>
  <c r="D233" i="1" l="1"/>
  <c r="D227" i="1"/>
  <c r="E189" i="1"/>
  <c r="D166" i="1"/>
  <c r="D145" i="1"/>
  <c r="H103" i="1"/>
  <c r="F102" i="1"/>
  <c r="H80" i="1"/>
  <c r="F79" i="1"/>
  <c r="F49" i="1"/>
  <c r="F25" i="1"/>
  <c r="E24" i="1"/>
  <c r="C24" i="1"/>
  <c r="F26" i="1"/>
  <c r="F27" i="1"/>
  <c r="F28" i="1"/>
  <c r="C29" i="1"/>
  <c r="D29" i="1"/>
  <c r="F32" i="1"/>
  <c r="C33" i="1"/>
  <c r="E33" i="1"/>
  <c r="F35" i="1"/>
  <c r="F36" i="1"/>
  <c r="C37" i="1"/>
  <c r="D37" i="1"/>
  <c r="E37" i="1"/>
  <c r="F39" i="1"/>
  <c r="F40" i="1"/>
  <c r="C41" i="1"/>
  <c r="C48" i="1"/>
  <c r="F50" i="1"/>
  <c r="E48" i="1"/>
  <c r="F51" i="1"/>
  <c r="F52" i="1"/>
  <c r="C53" i="1"/>
  <c r="F56" i="1"/>
  <c r="C57" i="1"/>
  <c r="E57" i="1"/>
  <c r="F59" i="1"/>
  <c r="C61" i="1"/>
  <c r="D61" i="1"/>
  <c r="C79" i="1"/>
  <c r="E79" i="1" s="1"/>
  <c r="E81" i="1"/>
  <c r="E82" i="1"/>
  <c r="E83" i="1"/>
  <c r="C84" i="1"/>
  <c r="E84" i="1" s="1"/>
  <c r="E85" i="1"/>
  <c r="E86" i="1"/>
  <c r="E87" i="1"/>
  <c r="C88" i="1"/>
  <c r="E88" i="1" s="1"/>
  <c r="E89" i="1"/>
  <c r="E90" i="1"/>
  <c r="E91" i="1"/>
  <c r="C92" i="1"/>
  <c r="E92" i="1" s="1"/>
  <c r="E93" i="1"/>
  <c r="F92" i="1"/>
  <c r="E94" i="1"/>
  <c r="E95" i="1"/>
  <c r="C102" i="1"/>
  <c r="E102" i="1" s="1"/>
  <c r="E104" i="1"/>
  <c r="E105" i="1"/>
  <c r="E106" i="1"/>
  <c r="C107" i="1"/>
  <c r="E107" i="1" s="1"/>
  <c r="E108" i="1"/>
  <c r="E109" i="1"/>
  <c r="E110" i="1"/>
  <c r="C111" i="1"/>
  <c r="E111" i="1" s="1"/>
  <c r="E112" i="1"/>
  <c r="E113" i="1"/>
  <c r="E114" i="1"/>
  <c r="C115" i="1"/>
  <c r="E115" i="1" s="1"/>
  <c r="E116" i="1"/>
  <c r="E117" i="1"/>
  <c r="E118" i="1"/>
  <c r="C124" i="1"/>
  <c r="D127" i="1"/>
  <c r="C129" i="1"/>
  <c r="D130" i="1"/>
  <c r="D131" i="1"/>
  <c r="D132" i="1"/>
  <c r="C133" i="1"/>
  <c r="D134" i="1"/>
  <c r="D135" i="1"/>
  <c r="D136" i="1"/>
  <c r="C137" i="1"/>
  <c r="D138" i="1"/>
  <c r="D139" i="1"/>
  <c r="C145" i="1"/>
  <c r="C150" i="1"/>
  <c r="C154" i="1"/>
  <c r="C158" i="1"/>
  <c r="C166" i="1"/>
  <c r="C171" i="1"/>
  <c r="C175" i="1"/>
  <c r="C179" i="1"/>
  <c r="C189" i="1"/>
  <c r="F192" i="1"/>
  <c r="F193" i="1"/>
  <c r="C194" i="1"/>
  <c r="F197" i="1"/>
  <c r="C198" i="1"/>
  <c r="F200" i="1"/>
  <c r="C202" i="1"/>
  <c r="C211" i="1"/>
  <c r="D214" i="1"/>
  <c r="D215" i="1"/>
  <c r="C216" i="1"/>
  <c r="D217" i="1"/>
  <c r="D218" i="1"/>
  <c r="D219" i="1"/>
  <c r="C220" i="1"/>
  <c r="D221" i="1"/>
  <c r="D222" i="1"/>
  <c r="D223" i="1"/>
  <c r="C224" i="1"/>
  <c r="D225" i="1"/>
  <c r="D226" i="1"/>
  <c r="C233" i="1"/>
  <c r="C238" i="1"/>
  <c r="C242" i="1"/>
  <c r="C246" i="1"/>
  <c r="C255" i="1"/>
  <c r="C259" i="1"/>
  <c r="C263" i="1"/>
  <c r="C267" i="1"/>
  <c r="D124" i="1" l="1"/>
  <c r="C228" i="1"/>
  <c r="C183" i="1"/>
  <c r="D211" i="1"/>
  <c r="C206" i="1"/>
  <c r="C162" i="1"/>
  <c r="F48" i="1"/>
  <c r="C65" i="1"/>
  <c r="D267" i="1"/>
  <c r="D263" i="1"/>
  <c r="D259" i="1"/>
  <c r="D242" i="1"/>
  <c r="F201" i="1"/>
  <c r="F199" i="1"/>
  <c r="F198" i="1" s="1"/>
  <c r="F107" i="1"/>
  <c r="C250" i="1"/>
  <c r="F205" i="1"/>
  <c r="D202" i="1"/>
  <c r="C141" i="1"/>
  <c r="F111" i="1"/>
  <c r="F63" i="1"/>
  <c r="D194" i="1"/>
  <c r="F191" i="1"/>
  <c r="F189" i="1" s="1"/>
  <c r="D158" i="1"/>
  <c r="G11" i="1" s="1"/>
  <c r="D150" i="1"/>
  <c r="E11" i="1" s="1"/>
  <c r="F24" i="1"/>
  <c r="E61" i="1"/>
  <c r="D53" i="1"/>
  <c r="C271" i="1"/>
  <c r="F204" i="1"/>
  <c r="F196" i="1"/>
  <c r="D189" i="1"/>
  <c r="D33" i="1"/>
  <c r="D238" i="1"/>
  <c r="F203" i="1"/>
  <c r="F195" i="1"/>
  <c r="D179" i="1"/>
  <c r="D171" i="1"/>
  <c r="E12" i="1" s="1"/>
  <c r="D137" i="1"/>
  <c r="D129" i="1"/>
  <c r="F88" i="1"/>
  <c r="F55" i="1"/>
  <c r="D24" i="1"/>
  <c r="E29" i="1"/>
  <c r="E41" i="1" s="1"/>
  <c r="D246" i="1"/>
  <c r="D175" i="1"/>
  <c r="F64" i="1"/>
  <c r="F58" i="1"/>
  <c r="D255" i="1"/>
  <c r="D224" i="1"/>
  <c r="D220" i="1"/>
  <c r="D216" i="1"/>
  <c r="E14" i="1" s="1"/>
  <c r="E202" i="1"/>
  <c r="E198" i="1"/>
  <c r="E194" i="1"/>
  <c r="E206" i="1"/>
  <c r="D154" i="1"/>
  <c r="D133" i="1"/>
  <c r="F115" i="1"/>
  <c r="C96" i="1"/>
  <c r="E96" i="1" s="1"/>
  <c r="F84" i="1"/>
  <c r="F60" i="1"/>
  <c r="E53" i="1"/>
  <c r="E65" i="1" s="1"/>
  <c r="F34" i="1"/>
  <c r="F33" i="1" s="1"/>
  <c r="F31" i="1"/>
  <c r="D198" i="1"/>
  <c r="C119" i="1"/>
  <c r="E119" i="1" s="1"/>
  <c r="F62" i="1"/>
  <c r="D57" i="1"/>
  <c r="F54" i="1"/>
  <c r="D48" i="1"/>
  <c r="F38" i="1"/>
  <c r="F37" i="1" s="1"/>
  <c r="F30" i="1"/>
  <c r="F29" i="1" s="1"/>
  <c r="E133" i="6"/>
  <c r="E132" i="6" s="1"/>
  <c r="E131" i="6" s="1"/>
  <c r="E130" i="6" s="1"/>
  <c r="E129" i="6" s="1"/>
  <c r="E128" i="6" s="1"/>
  <c r="E127" i="6" s="1"/>
  <c r="D133" i="6"/>
  <c r="D132" i="6"/>
  <c r="D131" i="6" s="1"/>
  <c r="D130" i="6" s="1"/>
  <c r="D129" i="6" s="1"/>
  <c r="D128" i="6" s="1"/>
  <c r="D127" i="6" s="1"/>
  <c r="C127" i="6"/>
  <c r="C126" i="6"/>
  <c r="G125" i="6"/>
  <c r="C125" i="6"/>
  <c r="C124" i="6"/>
  <c r="C123" i="6"/>
  <c r="C122" i="6"/>
  <c r="C121" i="6"/>
  <c r="I119" i="6"/>
  <c r="I126" i="6" s="1"/>
  <c r="H119" i="6"/>
  <c r="H126" i="6" s="1"/>
  <c r="G119" i="6"/>
  <c r="G126" i="6" s="1"/>
  <c r="F119" i="6"/>
  <c r="F126" i="6" s="1"/>
  <c r="I118" i="6"/>
  <c r="I125" i="6" s="1"/>
  <c r="H118" i="6"/>
  <c r="H125" i="6" s="1"/>
  <c r="G118" i="6"/>
  <c r="F118" i="6"/>
  <c r="F125" i="6" s="1"/>
  <c r="I117" i="6"/>
  <c r="I124" i="6" s="1"/>
  <c r="H117" i="6"/>
  <c r="H124" i="6" s="1"/>
  <c r="G117" i="6"/>
  <c r="G124" i="6" s="1"/>
  <c r="F117" i="6"/>
  <c r="I116" i="6"/>
  <c r="I123" i="6" s="1"/>
  <c r="H116" i="6"/>
  <c r="H123" i="6" s="1"/>
  <c r="G116" i="6"/>
  <c r="F116" i="6"/>
  <c r="F123" i="6" s="1"/>
  <c r="I115" i="6"/>
  <c r="I122" i="6" s="1"/>
  <c r="H115" i="6"/>
  <c r="H122" i="6" s="1"/>
  <c r="G115" i="6"/>
  <c r="G122" i="6" s="1"/>
  <c r="F115" i="6"/>
  <c r="F122" i="6" s="1"/>
  <c r="I114" i="6"/>
  <c r="I113" i="6" s="1"/>
  <c r="I120" i="6" s="1"/>
  <c r="H114" i="6"/>
  <c r="G114" i="6"/>
  <c r="G121" i="6" s="1"/>
  <c r="F114" i="6"/>
  <c r="F121" i="6" s="1"/>
  <c r="E114" i="6"/>
  <c r="E121" i="6" s="1"/>
  <c r="D113" i="6"/>
  <c r="C113" i="6"/>
  <c r="C120" i="6" s="1"/>
  <c r="E112" i="6"/>
  <c r="E111" i="6"/>
  <c r="E110" i="6"/>
  <c r="E109" i="6"/>
  <c r="E108" i="6"/>
  <c r="E107" i="6"/>
  <c r="I106" i="6"/>
  <c r="H106" i="6"/>
  <c r="G106" i="6"/>
  <c r="F106" i="6"/>
  <c r="D120" i="6"/>
  <c r="E101" i="6"/>
  <c r="I96" i="6"/>
  <c r="H96" i="6"/>
  <c r="G96" i="6"/>
  <c r="F96" i="6"/>
  <c r="E96" i="6" s="1"/>
  <c r="C96" i="6"/>
  <c r="I95" i="6"/>
  <c r="H95" i="6"/>
  <c r="G95" i="6"/>
  <c r="F95" i="6"/>
  <c r="C95" i="6"/>
  <c r="I94" i="6"/>
  <c r="H94" i="6"/>
  <c r="E94" i="6" s="1"/>
  <c r="G94" i="6"/>
  <c r="F94" i="6"/>
  <c r="C94" i="6"/>
  <c r="I91" i="6"/>
  <c r="H91" i="6"/>
  <c r="G91" i="6"/>
  <c r="E91" i="6" s="1"/>
  <c r="F91" i="6"/>
  <c r="E88" i="6"/>
  <c r="E87" i="6"/>
  <c r="E85" i="6"/>
  <c r="C85" i="6"/>
  <c r="I82" i="6"/>
  <c r="H82" i="6"/>
  <c r="G82" i="6"/>
  <c r="F82" i="6"/>
  <c r="I81" i="6"/>
  <c r="H81" i="6"/>
  <c r="G81" i="6"/>
  <c r="F81" i="6"/>
  <c r="I80" i="6"/>
  <c r="H80" i="6"/>
  <c r="G80" i="6"/>
  <c r="F80" i="6"/>
  <c r="E80" i="6"/>
  <c r="I79" i="6"/>
  <c r="H79" i="6"/>
  <c r="G79" i="6"/>
  <c r="F79" i="6"/>
  <c r="E79" i="6" s="1"/>
  <c r="E73" i="6"/>
  <c r="E72" i="6"/>
  <c r="E71" i="6"/>
  <c r="E70" i="6"/>
  <c r="C70" i="6"/>
  <c r="E69" i="6"/>
  <c r="E67" i="6"/>
  <c r="E66" i="6"/>
  <c r="C66" i="6"/>
  <c r="E65" i="6"/>
  <c r="C65" i="6"/>
  <c r="E64" i="6"/>
  <c r="E63" i="6"/>
  <c r="I59" i="6"/>
  <c r="E62" i="6"/>
  <c r="E61" i="6"/>
  <c r="G59" i="6"/>
  <c r="H59" i="6"/>
  <c r="D59" i="6"/>
  <c r="D75" i="6" s="1"/>
  <c r="E58" i="6"/>
  <c r="E57" i="6"/>
  <c r="C57" i="6"/>
  <c r="E54" i="6"/>
  <c r="E53" i="6"/>
  <c r="I50" i="6"/>
  <c r="H50" i="6"/>
  <c r="H48" i="6" s="1"/>
  <c r="G50" i="6"/>
  <c r="F50" i="6"/>
  <c r="F48" i="6" s="1"/>
  <c r="E49" i="6"/>
  <c r="C49" i="6"/>
  <c r="C48" i="6" s="1"/>
  <c r="I48" i="6"/>
  <c r="D48" i="6"/>
  <c r="E47" i="6"/>
  <c r="E46" i="6"/>
  <c r="I45" i="6"/>
  <c r="H45" i="6"/>
  <c r="G45" i="6"/>
  <c r="G44" i="6" s="1"/>
  <c r="F45" i="6"/>
  <c r="I44" i="6"/>
  <c r="H44" i="6"/>
  <c r="D44" i="6"/>
  <c r="C44" i="6"/>
  <c r="E43" i="6"/>
  <c r="E42" i="6"/>
  <c r="I41" i="6"/>
  <c r="H41" i="6"/>
  <c r="G41" i="6"/>
  <c r="E41" i="6" s="1"/>
  <c r="F41" i="6"/>
  <c r="E40" i="6"/>
  <c r="I39" i="6"/>
  <c r="H39" i="6"/>
  <c r="H38" i="6" s="1"/>
  <c r="G39" i="6"/>
  <c r="F39" i="6"/>
  <c r="G38" i="6"/>
  <c r="D74" i="6"/>
  <c r="C38" i="6"/>
  <c r="E37" i="6"/>
  <c r="B27" i="6"/>
  <c r="B26" i="6"/>
  <c r="B25" i="6"/>
  <c r="B23" i="6"/>
  <c r="I21" i="6"/>
  <c r="B21" i="6"/>
  <c r="I20" i="6"/>
  <c r="B20" i="6"/>
  <c r="I19" i="6"/>
  <c r="B19" i="6"/>
  <c r="I18" i="6"/>
  <c r="B18" i="6"/>
  <c r="I17" i="6"/>
  <c r="B17" i="6"/>
  <c r="B177" i="5"/>
  <c r="B176" i="5"/>
  <c r="B175" i="5"/>
  <c r="B174" i="5"/>
  <c r="F173" i="5"/>
  <c r="E173" i="5"/>
  <c r="H90" i="6" s="1"/>
  <c r="D173" i="5"/>
  <c r="C173" i="5"/>
  <c r="F90" i="6" s="1"/>
  <c r="E90" i="6" s="1"/>
  <c r="B172" i="5"/>
  <c r="B171" i="5"/>
  <c r="B170" i="5"/>
  <c r="B169" i="5"/>
  <c r="F168" i="5"/>
  <c r="E168" i="5"/>
  <c r="D168" i="5"/>
  <c r="C168" i="5"/>
  <c r="B167" i="5"/>
  <c r="B166" i="5"/>
  <c r="B165" i="5"/>
  <c r="B164" i="5"/>
  <c r="F163" i="5"/>
  <c r="E163" i="5"/>
  <c r="D163" i="5"/>
  <c r="C163" i="5"/>
  <c r="B162" i="5"/>
  <c r="B161" i="5"/>
  <c r="B160" i="5"/>
  <c r="B159" i="5"/>
  <c r="F158" i="5"/>
  <c r="E158" i="5"/>
  <c r="D158" i="5"/>
  <c r="G87" i="6" s="1"/>
  <c r="C158" i="5"/>
  <c r="B157" i="5"/>
  <c r="B156" i="5"/>
  <c r="B155" i="5"/>
  <c r="B154" i="5"/>
  <c r="F153" i="5"/>
  <c r="E153" i="5"/>
  <c r="D153" i="5"/>
  <c r="G86" i="6" s="1"/>
  <c r="C153" i="5"/>
  <c r="F86" i="6" s="1"/>
  <c r="E86" i="6" s="1"/>
  <c r="B152" i="5"/>
  <c r="B151" i="5"/>
  <c r="B150" i="5"/>
  <c r="B149" i="5"/>
  <c r="F148" i="5"/>
  <c r="E148" i="5"/>
  <c r="D148" i="5"/>
  <c r="C148" i="5"/>
  <c r="F147" i="5"/>
  <c r="E147" i="5"/>
  <c r="D147" i="5"/>
  <c r="C147" i="5"/>
  <c r="F146" i="5"/>
  <c r="E146" i="5"/>
  <c r="D146" i="5"/>
  <c r="D143" i="5" s="1"/>
  <c r="C146" i="5"/>
  <c r="F145" i="5"/>
  <c r="E145" i="5"/>
  <c r="D145" i="5"/>
  <c r="C145" i="5"/>
  <c r="F144" i="5"/>
  <c r="F143" i="5" s="1"/>
  <c r="E144" i="5"/>
  <c r="E143" i="5" s="1"/>
  <c r="D144" i="5"/>
  <c r="C144" i="5"/>
  <c r="B138" i="5"/>
  <c r="B137" i="5"/>
  <c r="F136" i="5"/>
  <c r="E136" i="5"/>
  <c r="D136" i="5"/>
  <c r="B136" i="5" s="1"/>
  <c r="C136" i="5"/>
  <c r="B131" i="5"/>
  <c r="B130" i="5"/>
  <c r="B129" i="5" s="1"/>
  <c r="F129" i="5"/>
  <c r="E129" i="5"/>
  <c r="D129" i="5"/>
  <c r="C129" i="5"/>
  <c r="B128" i="5"/>
  <c r="B127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F110" i="5"/>
  <c r="E110" i="5"/>
  <c r="D110" i="5"/>
  <c r="B109" i="5"/>
  <c r="B108" i="5"/>
  <c r="F107" i="5"/>
  <c r="E107" i="5"/>
  <c r="D107" i="5"/>
  <c r="C107" i="5"/>
  <c r="B107" i="5" s="1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F88" i="5"/>
  <c r="E88" i="5"/>
  <c r="D88" i="5"/>
  <c r="D69" i="5" s="1"/>
  <c r="G68" i="6" s="1"/>
  <c r="C88" i="5"/>
  <c r="B87" i="5"/>
  <c r="B86" i="5"/>
  <c r="B85" i="5"/>
  <c r="B84" i="5"/>
  <c r="B83" i="5"/>
  <c r="B82" i="5"/>
  <c r="B81" i="5"/>
  <c r="B80" i="5"/>
  <c r="B79" i="5"/>
  <c r="B78" i="5"/>
  <c r="B77" i="5"/>
  <c r="B76" i="5"/>
  <c r="B74" i="5"/>
  <c r="B73" i="5"/>
  <c r="B72" i="5"/>
  <c r="B71" i="5"/>
  <c r="F70" i="5"/>
  <c r="E70" i="5"/>
  <c r="E69" i="5" s="1"/>
  <c r="H68" i="6" s="1"/>
  <c r="D70" i="5"/>
  <c r="C70" i="5"/>
  <c r="F69" i="5"/>
  <c r="F57" i="5" s="1"/>
  <c r="B68" i="5"/>
  <c r="B67" i="5"/>
  <c r="F66" i="5"/>
  <c r="E66" i="5"/>
  <c r="D66" i="5"/>
  <c r="C66" i="5"/>
  <c r="B63" i="5"/>
  <c r="B61" i="5"/>
  <c r="B60" i="5"/>
  <c r="B59" i="5"/>
  <c r="F58" i="5"/>
  <c r="E58" i="5"/>
  <c r="D58" i="5"/>
  <c r="C58" i="5"/>
  <c r="B56" i="5"/>
  <c r="B55" i="5"/>
  <c r="F54" i="5"/>
  <c r="E54" i="5"/>
  <c r="E53" i="5" s="1"/>
  <c r="D54" i="5"/>
  <c r="C54" i="5"/>
  <c r="C53" i="5" s="1"/>
  <c r="F53" i="5"/>
  <c r="B52" i="5"/>
  <c r="E49" i="5"/>
  <c r="H56" i="6" s="1"/>
  <c r="D50" i="5"/>
  <c r="D49" i="5" s="1"/>
  <c r="G56" i="6" s="1"/>
  <c r="F49" i="5"/>
  <c r="I56" i="6" s="1"/>
  <c r="B46" i="5"/>
  <c r="F45" i="5"/>
  <c r="F44" i="5" s="1"/>
  <c r="I55" i="6" s="1"/>
  <c r="E45" i="5"/>
  <c r="E44" i="5" s="1"/>
  <c r="H55" i="6" s="1"/>
  <c r="D45" i="5"/>
  <c r="D44" i="5" s="1"/>
  <c r="G55" i="6" s="1"/>
  <c r="E40" i="5"/>
  <c r="B35" i="5"/>
  <c r="B34" i="5"/>
  <c r="B33" i="5"/>
  <c r="B32" i="5"/>
  <c r="F31" i="5"/>
  <c r="F42" i="5" s="1"/>
  <c r="E31" i="5"/>
  <c r="E42" i="5" s="1"/>
  <c r="D31" i="5"/>
  <c r="D42" i="5" s="1"/>
  <c r="C31" i="5"/>
  <c r="C42" i="5" s="1"/>
  <c r="B30" i="5"/>
  <c r="B29" i="5"/>
  <c r="B28" i="5"/>
  <c r="B27" i="5"/>
  <c r="F26" i="5"/>
  <c r="F41" i="5" s="1"/>
  <c r="E26" i="5"/>
  <c r="E41" i="5" s="1"/>
  <c r="D26" i="5"/>
  <c r="D41" i="5" s="1"/>
  <c r="C26" i="5"/>
  <c r="B26" i="5" s="1"/>
  <c r="B25" i="5"/>
  <c r="B24" i="5"/>
  <c r="B23" i="5"/>
  <c r="B22" i="5"/>
  <c r="F21" i="5"/>
  <c r="F40" i="5" s="1"/>
  <c r="E21" i="5"/>
  <c r="D21" i="5"/>
  <c r="D40" i="5" s="1"/>
  <c r="C21" i="5"/>
  <c r="C40" i="5" s="1"/>
  <c r="B40" i="5" s="1"/>
  <c r="B20" i="5"/>
  <c r="B19" i="5"/>
  <c r="B18" i="5"/>
  <c r="B17" i="5"/>
  <c r="F16" i="5"/>
  <c r="F39" i="5" s="1"/>
  <c r="E16" i="5"/>
  <c r="E39" i="5" s="1"/>
  <c r="D16" i="5"/>
  <c r="D39" i="5" s="1"/>
  <c r="C16" i="5"/>
  <c r="C39" i="5" s="1"/>
  <c r="B15" i="5"/>
  <c r="B14" i="5"/>
  <c r="B13" i="5"/>
  <c r="B12" i="5"/>
  <c r="F11" i="5"/>
  <c r="F38" i="5" s="1"/>
  <c r="E11" i="5"/>
  <c r="E38" i="5" s="1"/>
  <c r="D11" i="5"/>
  <c r="D38" i="5" s="1"/>
  <c r="C11" i="5"/>
  <c r="C38" i="5" s="1"/>
  <c r="B10" i="5"/>
  <c r="B9" i="5"/>
  <c r="B8" i="5"/>
  <c r="B7" i="5"/>
  <c r="F6" i="5"/>
  <c r="F37" i="5" s="1"/>
  <c r="E6" i="5"/>
  <c r="E37" i="5" s="1"/>
  <c r="D6" i="5"/>
  <c r="D37" i="5" s="1"/>
  <c r="C6" i="5"/>
  <c r="C37" i="5" s="1"/>
  <c r="F5" i="5"/>
  <c r="F140" i="5" s="1"/>
  <c r="F26" i="4"/>
  <c r="F24" i="4"/>
  <c r="F23" i="4"/>
  <c r="F21" i="4"/>
  <c r="F20" i="4"/>
  <c r="F19" i="4"/>
  <c r="B17" i="4"/>
  <c r="I16" i="4"/>
  <c r="K16" i="4" s="1"/>
  <c r="D16" i="4"/>
  <c r="F16" i="4" s="1"/>
  <c r="I15" i="4"/>
  <c r="K15" i="4" s="1"/>
  <c r="D15" i="4"/>
  <c r="F15" i="4" s="1"/>
  <c r="I14" i="4"/>
  <c r="K14" i="4" s="1"/>
  <c r="D14" i="4"/>
  <c r="F14" i="4" s="1"/>
  <c r="I13" i="4"/>
  <c r="K13" i="4" s="1"/>
  <c r="D13" i="4"/>
  <c r="F13" i="4" s="1"/>
  <c r="I12" i="4"/>
  <c r="K12" i="4" s="1"/>
  <c r="D12" i="4"/>
  <c r="F12" i="4" s="1"/>
  <c r="I11" i="4"/>
  <c r="K11" i="4" s="1"/>
  <c r="D11" i="4"/>
  <c r="F11" i="4" s="1"/>
  <c r="I10" i="4"/>
  <c r="K10" i="4" s="1"/>
  <c r="D10" i="4"/>
  <c r="F10" i="4" s="1"/>
  <c r="I9" i="4"/>
  <c r="K9" i="4" s="1"/>
  <c r="D9" i="4"/>
  <c r="F9" i="4" s="1"/>
  <c r="I8" i="4"/>
  <c r="K8" i="4" s="1"/>
  <c r="D8" i="4"/>
  <c r="F8" i="4" s="1"/>
  <c r="I7" i="4"/>
  <c r="K7" i="4" s="1"/>
  <c r="D7" i="4"/>
  <c r="F7" i="4" s="1"/>
  <c r="G17" i="2"/>
  <c r="F17" i="2"/>
  <c r="F15" i="2" s="1"/>
  <c r="E17" i="2"/>
  <c r="D17" i="2"/>
  <c r="C17" i="2"/>
  <c r="G15" i="2"/>
  <c r="E15" i="2"/>
  <c r="D15" i="2"/>
  <c r="C15" i="2"/>
  <c r="C12" i="2"/>
  <c r="G11" i="2"/>
  <c r="F11" i="2"/>
  <c r="E11" i="2"/>
  <c r="D11" i="2"/>
  <c r="C11" i="2"/>
  <c r="C9" i="2"/>
  <c r="C8" i="2"/>
  <c r="C7" i="2" s="1"/>
  <c r="G7" i="2"/>
  <c r="F7" i="2"/>
  <c r="E7" i="2"/>
  <c r="D7" i="2"/>
  <c r="C6" i="2"/>
  <c r="B46" i="3"/>
  <c r="F45" i="3"/>
  <c r="E45" i="3"/>
  <c r="D45" i="3"/>
  <c r="D44" i="3" s="1"/>
  <c r="C45" i="3"/>
  <c r="B45" i="3" s="1"/>
  <c r="B44" i="3" s="1"/>
  <c r="F44" i="3"/>
  <c r="E44" i="3"/>
  <c r="F42" i="3"/>
  <c r="E42" i="3"/>
  <c r="D42" i="3"/>
  <c r="B42" i="3"/>
  <c r="B41" i="3"/>
  <c r="F39" i="3"/>
  <c r="D39" i="3"/>
  <c r="E39" i="3"/>
  <c r="C39" i="3"/>
  <c r="B37" i="3"/>
  <c r="B36" i="3"/>
  <c r="F34" i="3"/>
  <c r="D34" i="3"/>
  <c r="E34" i="3"/>
  <c r="B32" i="3"/>
  <c r="B30" i="3"/>
  <c r="B28" i="3"/>
  <c r="B26" i="3"/>
  <c r="B24" i="3"/>
  <c r="B22" i="3"/>
  <c r="B20" i="3"/>
  <c r="B18" i="3"/>
  <c r="B16" i="3"/>
  <c r="B14" i="3"/>
  <c r="B12" i="3"/>
  <c r="B10" i="3"/>
  <c r="F6" i="3"/>
  <c r="E16" i="1"/>
  <c r="H118" i="1"/>
  <c r="H117" i="1"/>
  <c r="H116" i="1"/>
  <c r="H113" i="1"/>
  <c r="H112" i="1"/>
  <c r="H110" i="1"/>
  <c r="H109" i="1"/>
  <c r="H108" i="1"/>
  <c r="H105" i="1"/>
  <c r="H104" i="1"/>
  <c r="H95" i="1"/>
  <c r="H94" i="1"/>
  <c r="H93" i="1"/>
  <c r="H91" i="1"/>
  <c r="H89" i="1"/>
  <c r="H87" i="1"/>
  <c r="H86" i="1"/>
  <c r="H85" i="1"/>
  <c r="H83" i="1"/>
  <c r="H81" i="1"/>
  <c r="F16" i="1"/>
  <c r="D18" i="2" l="1"/>
  <c r="E68" i="6"/>
  <c r="C59" i="6"/>
  <c r="E55" i="6"/>
  <c r="E39" i="6"/>
  <c r="E81" i="6"/>
  <c r="E117" i="6"/>
  <c r="E124" i="6" s="1"/>
  <c r="E118" i="6"/>
  <c r="E125" i="6" s="1"/>
  <c r="I38" i="6"/>
  <c r="E45" i="6"/>
  <c r="E82" i="6"/>
  <c r="G113" i="6"/>
  <c r="G120" i="6" s="1"/>
  <c r="D76" i="6"/>
  <c r="F44" i="6"/>
  <c r="E44" i="6" s="1"/>
  <c r="E50" i="6"/>
  <c r="E95" i="6"/>
  <c r="E106" i="6"/>
  <c r="F113" i="6"/>
  <c r="H113" i="6"/>
  <c r="H120" i="6" s="1"/>
  <c r="E56" i="6"/>
  <c r="I75" i="6"/>
  <c r="H75" i="6"/>
  <c r="C75" i="6"/>
  <c r="C74" i="6"/>
  <c r="E6" i="3"/>
  <c r="F17" i="4"/>
  <c r="F27" i="4" s="1"/>
  <c r="B16" i="5"/>
  <c r="B31" i="5"/>
  <c r="B11" i="5"/>
  <c r="E57" i="5"/>
  <c r="B21" i="5"/>
  <c r="D57" i="5"/>
  <c r="E43" i="5"/>
  <c r="C41" i="5"/>
  <c r="F43" i="5"/>
  <c r="F132" i="5" s="1"/>
  <c r="B58" i="5"/>
  <c r="B66" i="5"/>
  <c r="B111" i="5"/>
  <c r="B125" i="5"/>
  <c r="F141" i="5"/>
  <c r="F139" i="5" s="1"/>
  <c r="B144" i="5"/>
  <c r="B145" i="5"/>
  <c r="B146" i="5"/>
  <c r="B147" i="5"/>
  <c r="B148" i="5"/>
  <c r="B153" i="5"/>
  <c r="B158" i="5"/>
  <c r="B163" i="5"/>
  <c r="B168" i="5"/>
  <c r="B173" i="5"/>
  <c r="B6" i="5"/>
  <c r="B5" i="5" s="1"/>
  <c r="C5" i="5"/>
  <c r="C140" i="5" s="1"/>
  <c r="B45" i="5"/>
  <c r="B44" i="5" s="1"/>
  <c r="B50" i="5"/>
  <c r="B49" i="5" s="1"/>
  <c r="B70" i="5"/>
  <c r="B88" i="5"/>
  <c r="C143" i="5"/>
  <c r="D5" i="5"/>
  <c r="D140" i="5" s="1"/>
  <c r="B54" i="5"/>
  <c r="B53" i="5" s="1"/>
  <c r="E18" i="2"/>
  <c r="C18" i="2"/>
  <c r="F18" i="2"/>
  <c r="G18" i="2"/>
  <c r="D183" i="1"/>
  <c r="E183" i="1" s="1"/>
  <c r="D141" i="1"/>
  <c r="E133" i="1" s="1"/>
  <c r="F194" i="1"/>
  <c r="D271" i="1"/>
  <c r="E259" i="1" s="1"/>
  <c r="D250" i="1"/>
  <c r="E250" i="1" s="1"/>
  <c r="D206" i="1"/>
  <c r="F202" i="1"/>
  <c r="F206" i="1" s="1"/>
  <c r="G206" i="1" s="1"/>
  <c r="D162" i="1"/>
  <c r="E162" i="1" s="1"/>
  <c r="H84" i="1"/>
  <c r="E8" i="1" s="1"/>
  <c r="F61" i="1"/>
  <c r="F57" i="1"/>
  <c r="F53" i="1"/>
  <c r="D228" i="1"/>
  <c r="E228" i="1" s="1"/>
  <c r="F119" i="1"/>
  <c r="D14" i="1"/>
  <c r="D41" i="1"/>
  <c r="D65" i="1"/>
  <c r="F96" i="1"/>
  <c r="H92" i="1"/>
  <c r="G8" i="1" s="1"/>
  <c r="F41" i="1"/>
  <c r="G41" i="1" s="1"/>
  <c r="E113" i="6"/>
  <c r="E120" i="6" s="1"/>
  <c r="G75" i="6"/>
  <c r="G123" i="6"/>
  <c r="G48" i="6"/>
  <c r="E48" i="6" s="1"/>
  <c r="E115" i="6"/>
  <c r="E122" i="6" s="1"/>
  <c r="E119" i="6"/>
  <c r="E126" i="6" s="1"/>
  <c r="F120" i="6"/>
  <c r="H121" i="6"/>
  <c r="F124" i="6"/>
  <c r="F59" i="6"/>
  <c r="E59" i="6" s="1"/>
  <c r="E60" i="6"/>
  <c r="E116" i="6"/>
  <c r="E123" i="6" s="1"/>
  <c r="I121" i="6"/>
  <c r="F38" i="6"/>
  <c r="E52" i="6"/>
  <c r="B38" i="5"/>
  <c r="E36" i="5"/>
  <c r="E135" i="5" s="1"/>
  <c r="E134" i="5" s="1"/>
  <c r="B42" i="5"/>
  <c r="D36" i="5"/>
  <c r="D135" i="5" s="1"/>
  <c r="D134" i="5" s="1"/>
  <c r="F36" i="5"/>
  <c r="F135" i="5" s="1"/>
  <c r="F134" i="5" s="1"/>
  <c r="B37" i="5"/>
  <c r="B39" i="5"/>
  <c r="B41" i="5"/>
  <c r="C141" i="5"/>
  <c r="E5" i="5"/>
  <c r="C36" i="5"/>
  <c r="C135" i="5" s="1"/>
  <c r="C44" i="5"/>
  <c r="C49" i="5"/>
  <c r="D53" i="5"/>
  <c r="D43" i="5" s="1"/>
  <c r="C69" i="5"/>
  <c r="C110" i="5"/>
  <c r="C33" i="4"/>
  <c r="C30" i="4"/>
  <c r="C35" i="4"/>
  <c r="C32" i="4"/>
  <c r="C34" i="4"/>
  <c r="C31" i="4"/>
  <c r="K17" i="4"/>
  <c r="K27" i="4" s="1"/>
  <c r="B8" i="3"/>
  <c r="D6" i="3"/>
  <c r="C34" i="3"/>
  <c r="C6" i="3" s="1"/>
  <c r="B35" i="3"/>
  <c r="B34" i="3" s="1"/>
  <c r="B40" i="3"/>
  <c r="B39" i="3" s="1"/>
  <c r="C44" i="3"/>
  <c r="E10" i="1"/>
  <c r="E5" i="1"/>
  <c r="D16" i="1"/>
  <c r="H115" i="1"/>
  <c r="D15" i="1"/>
  <c r="F15" i="1"/>
  <c r="G5" i="1"/>
  <c r="H82" i="1"/>
  <c r="H79" i="1" s="1"/>
  <c r="D10" i="1"/>
  <c r="F11" i="1"/>
  <c r="D11" i="1"/>
  <c r="D12" i="1"/>
  <c r="G14" i="1"/>
  <c r="E15" i="1"/>
  <c r="H114" i="1"/>
  <c r="H111" i="1" s="1"/>
  <c r="G15" i="1"/>
  <c r="H90" i="1"/>
  <c r="H88" i="1" s="1"/>
  <c r="H106" i="1"/>
  <c r="H102" i="1" s="1"/>
  <c r="H107" i="1"/>
  <c r="F10" i="1"/>
  <c r="G10" i="1"/>
  <c r="G12" i="1"/>
  <c r="G16" i="1"/>
  <c r="F12" i="1"/>
  <c r="F14" i="1"/>
  <c r="E38" i="6" l="1"/>
  <c r="C76" i="6"/>
  <c r="B6" i="3"/>
  <c r="E171" i="1"/>
  <c r="E179" i="1"/>
  <c r="E175" i="1"/>
  <c r="E124" i="1"/>
  <c r="E141" i="1"/>
  <c r="E129" i="1"/>
  <c r="E137" i="1"/>
  <c r="C139" i="5"/>
  <c r="D141" i="5"/>
  <c r="D139" i="5" s="1"/>
  <c r="C43" i="5"/>
  <c r="B43" i="5"/>
  <c r="D132" i="5"/>
  <c r="B36" i="5"/>
  <c r="F133" i="5"/>
  <c r="B143" i="5"/>
  <c r="G13" i="1"/>
  <c r="E166" i="1"/>
  <c r="E255" i="1"/>
  <c r="E263" i="1"/>
  <c r="E267" i="1"/>
  <c r="E238" i="1"/>
  <c r="E246" i="1"/>
  <c r="E242" i="1"/>
  <c r="E233" i="1"/>
  <c r="E211" i="1"/>
  <c r="E220" i="1"/>
  <c r="E216" i="1"/>
  <c r="E224" i="1"/>
  <c r="C11" i="1"/>
  <c r="E145" i="1"/>
  <c r="E158" i="1"/>
  <c r="E154" i="1"/>
  <c r="E150" i="1"/>
  <c r="F65" i="1"/>
  <c r="G48" i="1" s="1"/>
  <c r="G37" i="1"/>
  <c r="G198" i="1"/>
  <c r="G189" i="1"/>
  <c r="G33" i="1"/>
  <c r="G29" i="1"/>
  <c r="G202" i="1"/>
  <c r="C14" i="1"/>
  <c r="C16" i="1"/>
  <c r="G24" i="1"/>
  <c r="G194" i="1"/>
  <c r="F75" i="6"/>
  <c r="E75" i="6" s="1"/>
  <c r="B69" i="5"/>
  <c r="C57" i="5"/>
  <c r="B57" i="5" s="1"/>
  <c r="D133" i="5"/>
  <c r="E141" i="5"/>
  <c r="B141" i="5" s="1"/>
  <c r="E140" i="5"/>
  <c r="B110" i="5"/>
  <c r="B135" i="5"/>
  <c r="B134" i="5" s="1"/>
  <c r="C134" i="5"/>
  <c r="C133" i="5" s="1"/>
  <c r="E132" i="5"/>
  <c r="H35" i="4"/>
  <c r="H30" i="4"/>
  <c r="H33" i="4"/>
  <c r="F9" i="1"/>
  <c r="H119" i="1"/>
  <c r="I119" i="1" s="1"/>
  <c r="D9" i="1"/>
  <c r="F6" i="1"/>
  <c r="F5" i="1"/>
  <c r="E9" i="1"/>
  <c r="G6" i="1"/>
  <c r="D6" i="1"/>
  <c r="C10" i="1"/>
  <c r="C15" i="1"/>
  <c r="E6" i="1"/>
  <c r="D5" i="1"/>
  <c r="E13" i="1"/>
  <c r="C12" i="1"/>
  <c r="F13" i="1"/>
  <c r="F8" i="1"/>
  <c r="D8" i="1"/>
  <c r="H96" i="1"/>
  <c r="I79" i="1" s="1"/>
  <c r="D13" i="1"/>
  <c r="G9" i="1"/>
  <c r="E271" i="1" l="1"/>
  <c r="G57" i="1"/>
  <c r="G53" i="1"/>
  <c r="G61" i="1"/>
  <c r="G65" i="1"/>
  <c r="E17" i="1"/>
  <c r="G74" i="6" s="1"/>
  <c r="G76" i="6" s="1"/>
  <c r="I107" i="1"/>
  <c r="G17" i="1"/>
  <c r="I74" i="6" s="1"/>
  <c r="I76" i="6" s="1"/>
  <c r="C7" i="1"/>
  <c r="I88" i="1"/>
  <c r="C132" i="5"/>
  <c r="B132" i="5" s="1"/>
  <c r="B133" i="5"/>
  <c r="E139" i="5"/>
  <c r="E133" i="5" s="1"/>
  <c r="B140" i="5"/>
  <c r="B139" i="5" s="1"/>
  <c r="F17" i="1"/>
  <c r="H74" i="6" s="1"/>
  <c r="H76" i="6" s="1"/>
  <c r="I96" i="1"/>
  <c r="I84" i="1"/>
  <c r="I92" i="1"/>
  <c r="I111" i="1"/>
  <c r="C9" i="1"/>
  <c r="C6" i="1"/>
  <c r="C13" i="1"/>
  <c r="I115" i="1"/>
  <c r="C8" i="1"/>
  <c r="D17" i="1"/>
  <c r="C5" i="1"/>
  <c r="I102" i="1"/>
  <c r="E36" i="6" l="1"/>
  <c r="E74" i="6" s="1"/>
  <c r="F74" i="6"/>
  <c r="F76" i="6" s="1"/>
  <c r="E76" i="6" s="1"/>
  <c r="C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Катя</author>
  </authors>
  <commentList>
    <comment ref="A73" authorId="0" shapeId="0" xr:uid="{95EB205C-8802-4CE0-9BEA-7BDAAB1270ED}">
      <text>
        <r>
          <rPr>
            <b/>
            <sz val="9"/>
            <color indexed="81"/>
            <rFont val="Tahoma"/>
            <family val="2"/>
            <charset val="204"/>
          </rPr>
          <t>Лютий: рушник паперовий - 270,0/МОП, совок, миючі. - 968,0/відро, пензлик, скотч - 1258,0/кульки для сіття - 483,0/арматура для бачків - 315,0/кульки для сміття - 520,0/відро, щітка, губка, рукавиці - 2006,0/олівець, сверло, стрічка - 585,4/папір туалетний - 2744,00/відро - 276,0/ролети - 4200,0</t>
        </r>
      </text>
    </comment>
    <comment ref="A74" authorId="0" shapeId="0" xr:uid="{BBA143C3-CA7A-48D6-9DDB-DB3FD82545FC}">
      <text>
        <r>
          <rPr>
            <b/>
            <sz val="9"/>
            <color indexed="81"/>
            <rFont val="Tahoma"/>
            <family val="2"/>
            <charset val="204"/>
          </rPr>
          <t>Лютий: мило рідке, миючі - 1279,0/ засіб для унітазу, мило - 727,0/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82" authorId="0" shapeId="0" xr:uid="{D37D2087-C4AA-40FF-AC50-E73A56F71653}">
      <text>
        <r>
          <rPr>
            <sz val="9"/>
            <color indexed="81"/>
            <rFont val="Tahoma"/>
            <charset val="1"/>
          </rPr>
          <t>Експертиза ТЗ для списання - 4000,0
ремонт колеса - 250,0</t>
        </r>
      </text>
    </comment>
    <comment ref="A86" authorId="0" shapeId="0" xr:uid="{38A42D41-31F4-404E-A441-57B15B8887A1}">
      <text>
        <r>
          <rPr>
            <sz val="9"/>
            <color indexed="81"/>
            <rFont val="Tahoma"/>
            <family val="2"/>
            <charset val="204"/>
          </rPr>
          <t xml:space="preserve">Лютий - 1500,0грн
</t>
        </r>
      </text>
    </comment>
    <comment ref="A92" authorId="0" shapeId="0" xr:uid="{FCD46C8F-6F54-4632-90FF-57DFE3B87F8A}">
      <text>
        <r>
          <rPr>
            <sz val="9"/>
            <color indexed="81"/>
            <rFont val="Tahoma"/>
            <family val="2"/>
            <charset val="204"/>
          </rPr>
          <t xml:space="preserve">Лютий: запрака картриджів: 4200,0/900,0
</t>
        </r>
      </text>
    </comment>
    <comment ref="A97" authorId="0" shapeId="0" xr:uid="{6CB8C0B3-6B40-4F97-9CD1-8B3D339691E4}">
      <text>
        <r>
          <rPr>
            <sz val="9"/>
            <color indexed="81"/>
            <rFont val="Tahoma"/>
            <family val="2"/>
            <charset val="204"/>
          </rPr>
          <t xml:space="preserve">лютий: навчання відповідальних осіб - 3590,0/ дозиметричний контроль - 6288,00/
</t>
        </r>
      </text>
    </comment>
    <comment ref="A127" authorId="0" shapeId="0" xr:uid="{010212F4-51F2-4064-AD84-B7E0CD04D12B}">
      <text>
        <r>
          <rPr>
            <b/>
            <sz val="9"/>
            <color indexed="81"/>
            <rFont val="Tahoma"/>
            <family val="2"/>
            <charset val="204"/>
          </rPr>
          <t>Канцтовари - 10144,0/бланки шлях.лист - 250,0/калькулятор - 1750,0/</t>
        </r>
      </text>
    </comment>
  </commentList>
</comments>
</file>

<file path=xl/sharedStrings.xml><?xml version="1.0" encoding="utf-8"?>
<sst xmlns="http://schemas.openxmlformats.org/spreadsheetml/2006/main" count="833" uniqueCount="396">
  <si>
    <t>Доходи за програмою медичних гарантій    (Національна служба здоров'я України)</t>
  </si>
  <si>
    <t>№ пакету</t>
  </si>
  <si>
    <t>Назва пакету</t>
  </si>
  <si>
    <t>І квартал</t>
  </si>
  <si>
    <t>ІІ квартал</t>
  </si>
  <si>
    <t>ІІІ квартал</t>
  </si>
  <si>
    <t>IV квартал</t>
  </si>
  <si>
    <t>2025 рік</t>
  </si>
  <si>
    <t>Хірургічні операції дорослим та діятм у стаціонарних умовах</t>
  </si>
  <si>
    <t>Стаціонарна допомога дорослим та дітям без проведення хірургічних операцій</t>
  </si>
  <si>
    <t>Профілактика діагностика, спостереження та лікування в амбулаторних умовах</t>
  </si>
  <si>
    <t>Езофагогастродуоденоскопія</t>
  </si>
  <si>
    <t>Колоноскопія</t>
  </si>
  <si>
    <t>Діагностика, лікування та супровід осіб з ВІЛ (та підозрою на ВІЛ)</t>
  </si>
  <si>
    <t>Мобільна паліативна медична допомога дорослим та дітям</t>
  </si>
  <si>
    <t>Ведення вагітності в амбулаторних умовах</t>
  </si>
  <si>
    <t>Хірургічні операції дорослим та дітям в умовах стаціонару одного дня</t>
  </si>
  <si>
    <t>Забезпечення кадрового потенціалу системи охорони здоров'я шляхом організації надання медичної допомоги із залученням лікарів інтернів</t>
  </si>
  <si>
    <t>Медичний огляд осіб, який організовується територіальними центрами комплектування та соціальної підтримки</t>
  </si>
  <si>
    <t>Реабілітаційна допомога дорослим та дітям в амбулаторних умовах</t>
  </si>
  <si>
    <t>ВСЬОГО</t>
  </si>
  <si>
    <t>Надходження ЗОЗ за пакетом "Хірургічні операції дорослим та дітям в стаціонарних умовах" (Ставка на пролікований випадок 8 735,00грн.; Середній індекс вартості послуги 1,676)</t>
  </si>
  <si>
    <t>Період</t>
  </si>
  <si>
    <t>Кількість послуг, од</t>
  </si>
  <si>
    <t>Обсяг надходжень, грн</t>
  </si>
  <si>
    <t>Структура %</t>
  </si>
  <si>
    <t>спввідношення ГБ до ПВ</t>
  </si>
  <si>
    <t>За глобальною ставкою</t>
  </si>
  <si>
    <t>За пролікований випадок</t>
  </si>
  <si>
    <t>Всього</t>
  </si>
  <si>
    <t>І квартал 2025 року</t>
  </si>
  <si>
    <t>Січень</t>
  </si>
  <si>
    <t>Лютий</t>
  </si>
  <si>
    <t>Березень</t>
  </si>
  <si>
    <t>ІІ квартал 2025 року</t>
  </si>
  <si>
    <t>Квітень</t>
  </si>
  <si>
    <t>Травень</t>
  </si>
  <si>
    <t>Червень</t>
  </si>
  <si>
    <t>ІІІ квартал 2025 року</t>
  </si>
  <si>
    <t>Липень</t>
  </si>
  <si>
    <t>45/55</t>
  </si>
  <si>
    <t>Серпень</t>
  </si>
  <si>
    <t>Вересень</t>
  </si>
  <si>
    <t>IV квартал 2025 року</t>
  </si>
  <si>
    <t>Жовтень</t>
  </si>
  <si>
    <t>Листопад</t>
  </si>
  <si>
    <t>Грудень</t>
  </si>
  <si>
    <t>Надходження ЗОЗ за пакетом "Стаціонарна медична допомога доромлим та дітям без проведення хірургічних операцій" (Ставка на пролікований випадок 8 735,00грн.; Середній індекс вартості послуги 0,817)</t>
  </si>
  <si>
    <t>Надходження ЗОЗ за пакетом "Профілактика, діагностика, спостереження та лікування в амбулаторних умовах"</t>
  </si>
  <si>
    <t>Сума, грн.</t>
  </si>
  <si>
    <t>Структура, %</t>
  </si>
  <si>
    <t>Надходження ЗОЗ за пакетом "Езофагогастродуоденоскопія"</t>
  </si>
  <si>
    <t>Кількість одиниць</t>
  </si>
  <si>
    <t>Обсяг надходжень, грн.</t>
  </si>
  <si>
    <t>Діагностичні послуги</t>
  </si>
  <si>
    <t>З проведенням ендоскопічної маніпуляції та/або ендоскопічної операції</t>
  </si>
  <si>
    <t>Надходження ЗОЗ за пакетом "Колоноскопія"</t>
  </si>
  <si>
    <t>Діагностичні послуги, 1110,0 грн.</t>
  </si>
  <si>
    <t>З проведенням ендоскопічної маніпуляції та/або ендоскопічної операції, 1887,0 грн.</t>
  </si>
  <si>
    <t>Надходження ЗОЗ за пакетом "Діагностика, лікування та супровід осіб з ВІЛ ( та підозрою на ВІЛ) "
 (вартість послуги в рік 4 091,04 грн., в місяць 340,92 грн.)</t>
  </si>
  <si>
    <t>Кількість послуг, одиниць</t>
  </si>
  <si>
    <t>Всього, грн</t>
  </si>
  <si>
    <t>Надходження ЗОЗ за пакетом "Мобільна паліативна допомога дорослим та дітям"
 (вартість послуги 5 110,75 грн.)</t>
  </si>
  <si>
    <t>Надходження ЗОЗ за пакетом "Хірургічні операції дорослим та дітям в умовах стаціонару одного дня" (Ставка на пролікований випадок 10 660,57грн.; Середній індекс вартості послуги 1,22)</t>
  </si>
  <si>
    <t>Надходження ЗОЗ за пакетом "Забезпечення кадрового потенціалу системи охорони здоров'я шляхом організації надання медичної допомоги із залученням лікарів інтернів"
 (вартість послуги 9 760,00грн.)</t>
  </si>
  <si>
    <t>Надходження ЗОЗ за пакетом "Медичний огляд осіб, який організовується територіальними центрами комплектування та соціальної підтримки"
 (вартість послуги 883,00 грн.)</t>
  </si>
  <si>
    <t xml:space="preserve">Надходження ЗОЗ за пакетом "Реабілітаційна допомога дорослим та дітям в амбулаторних умовах" (10 820,00грн. Вартість послуги за пакетом) </t>
  </si>
  <si>
    <t>Інші доходи ЗОЗ</t>
  </si>
  <si>
    <t>№ п/п</t>
  </si>
  <si>
    <t>Показник/період</t>
  </si>
  <si>
    <t xml:space="preserve">ІІІ квартал </t>
  </si>
  <si>
    <t xml:space="preserve">2025 рік </t>
  </si>
  <si>
    <t>1.</t>
  </si>
  <si>
    <t>Дохід (виручка) від реалізації продукції (товарів, робіт, послуг) від надання платних послуг</t>
  </si>
  <si>
    <t>2.</t>
  </si>
  <si>
    <t>Дохід з місцевого бюджету в т.ч.</t>
  </si>
  <si>
    <t>2.1.</t>
  </si>
  <si>
    <t>покриття вартості комунальних послуг та енергоносіїв</t>
  </si>
  <si>
    <t>2.2.</t>
  </si>
  <si>
    <t>Забезпечення безоплатного та пільгоавого відпуску лікарських засобів певних категорій населення на території Жидачівської міської територіальної громади на 2024 - 2026 роки</t>
  </si>
  <si>
    <t>2.3.</t>
  </si>
  <si>
    <t>Фінансова підтримка вторинної (спеціалізованої) медичної допомоги населенню КНП "Жидачівська МЛ" на 2024 - 2026 роки</t>
  </si>
  <si>
    <t>3.</t>
  </si>
  <si>
    <t>Інші операційні доходи:</t>
  </si>
  <si>
    <t>3.1.</t>
  </si>
  <si>
    <t>дохід від здачі приміщень, земельних ділянок тощо в оренду</t>
  </si>
  <si>
    <t>3.2.</t>
  </si>
  <si>
    <t>дохід від реалізації оборотних і необоротних активів</t>
  </si>
  <si>
    <t>3.3.</t>
  </si>
  <si>
    <t>Безоплатні надходження у вигляді безповоротної фінансової допомоки (спонсорська допомога, добрвільні пожертви, централізоване постачання, інший неопераційний дохід</t>
  </si>
  <si>
    <t>4.</t>
  </si>
  <si>
    <t>Інші доходи:</t>
  </si>
  <si>
    <t>4.1.</t>
  </si>
  <si>
    <t>відсотки отримані (поточні рахунки і депозити)</t>
  </si>
  <si>
    <t>4.2.</t>
  </si>
  <si>
    <t>Інший неопераційний дохід</t>
  </si>
  <si>
    <t>Вього доходи</t>
  </si>
  <si>
    <t>ВСЬОГО ДОХОДИ</t>
  </si>
  <si>
    <t>Всього доходи, грн</t>
  </si>
  <si>
    <t>03. Хірургічні операції дорослим та діятм у стаціонарних умовах</t>
  </si>
  <si>
    <t>04. Стаціонарна допомога дорослим та дітям без проведення хірургічних операцій</t>
  </si>
  <si>
    <t>09. Профілактика діагностика, спостереження та лікування в амбулаторних умовах</t>
  </si>
  <si>
    <t>12. Езофагогастродуоденоскопія</t>
  </si>
  <si>
    <t>13. Колоноскопія</t>
  </si>
  <si>
    <t>21. Діагностика, лікування та супровід осіб з ВІЛ (та підозрою на ВІЛ)</t>
  </si>
  <si>
    <t>35. Ведення вагітності в амбулаторних умовах</t>
  </si>
  <si>
    <t>47. Хірургічні операції дорослим та дітям в умовах стаціонару одного дня</t>
  </si>
  <si>
    <t>50. Забезпечення кадрового потенціалу системи охорони здоров'я шляхом організації надання медичної допомоги із залученням лікарів інтернів</t>
  </si>
  <si>
    <t>60. Медичний огляд осіб, який організовується територіальними центрами комплектування та соціальної підтримки</t>
  </si>
  <si>
    <t xml:space="preserve"> Реабілітаційна допомога дорослим та дітям в амбулаторних умовах</t>
  </si>
  <si>
    <t>Додаток 1 до видатків</t>
  </si>
  <si>
    <t>Розрахунок матеріальних затрат</t>
  </si>
  <si>
    <t>Медикаменти</t>
  </si>
  <si>
    <t>Продукти харчування</t>
  </si>
  <si>
    <t xml:space="preserve">К-ть ліжок </t>
  </si>
  <si>
    <t>План роботи ліжка в рік</t>
  </si>
  <si>
    <t>К-ть ліжкоднів</t>
  </si>
  <si>
    <t>В-ть одного ліжка, грн</t>
  </si>
  <si>
    <t>К-ть ліжок</t>
  </si>
  <si>
    <t>Вартість одного ліжка, грн</t>
  </si>
  <si>
    <t>СТАЦІОНАР</t>
  </si>
  <si>
    <t>терапевтичні</t>
  </si>
  <si>
    <t>кардіологічні</t>
  </si>
  <si>
    <t>пульмологічні</t>
  </si>
  <si>
    <t>неврологічні</t>
  </si>
  <si>
    <t>інфекційні дорослі</t>
  </si>
  <si>
    <t>гінекологічні</t>
  </si>
  <si>
    <t>хірургічні</t>
  </si>
  <si>
    <t>травматологічні</t>
  </si>
  <si>
    <t>педіатричні</t>
  </si>
  <si>
    <t>реанімаційні</t>
  </si>
  <si>
    <t>РАЗОМ</t>
  </si>
  <si>
    <t>В т.ч. Кисень</t>
  </si>
  <si>
    <t>Витрати на амбулаторно-поліклінічне відділення (к-ть відвідувань)</t>
  </si>
  <si>
    <t>Витрати на клініко-діагностичну лабораторію (к-ть досліджень)</t>
  </si>
  <si>
    <t>витрати на відділення трансфузіології крові (к-ть контейнерів(потреба рік))</t>
  </si>
  <si>
    <t>Заготівля овочів</t>
  </si>
  <si>
    <t>видатки на придбання наркотичних засобів</t>
  </si>
  <si>
    <t>Витрати на рентгенологічне відділення та  КФД (к-ть досліджень)</t>
  </si>
  <si>
    <t>Витрати на невідкладну допомогу (приймальне відділення)</t>
  </si>
  <si>
    <t>Деззасоби</t>
  </si>
  <si>
    <t>ВСЬОГО, грн.</t>
  </si>
  <si>
    <t>Використання коштів по джерелах</t>
  </si>
  <si>
    <t>%</t>
  </si>
  <si>
    <t>грн.</t>
  </si>
  <si>
    <t>Кошти НСЗУ</t>
  </si>
  <si>
    <t>Власні кошти (платні послуги)</t>
  </si>
  <si>
    <t>Централізоване постачання</t>
  </si>
  <si>
    <t>Спонсорська допомога</t>
  </si>
  <si>
    <t>Гуманітарна допомога</t>
  </si>
  <si>
    <t>кошти місцевого бюджету</t>
  </si>
  <si>
    <t>Видатки ЗОЗ</t>
  </si>
  <si>
    <t>Найменування показника</t>
  </si>
  <si>
    <t>І. Оплата праці всього персоналу (без нарахувань) в т.ч.:</t>
  </si>
  <si>
    <t>Керівник</t>
  </si>
  <si>
    <t xml:space="preserve">Основна </t>
  </si>
  <si>
    <t>Додаткова</t>
  </si>
  <si>
    <t>Матеріальна допомога</t>
  </si>
  <si>
    <t>Інше (відпустки, курси, тощо)</t>
  </si>
  <si>
    <t>Лікарі</t>
  </si>
  <si>
    <t>Середній медичний персонал</t>
  </si>
  <si>
    <t>Молодший медичний персонал</t>
  </si>
  <si>
    <t>Адміністративно-управлінський персонал</t>
  </si>
  <si>
    <t>Допоміжний персонал</t>
  </si>
  <si>
    <t>Нарахування на оплату праці</t>
  </si>
  <si>
    <t>ІІ Прямі витрати</t>
  </si>
  <si>
    <t>Медикаменти та перев'язувальні матеріали:</t>
  </si>
  <si>
    <t>власні кошти (платні послуги)</t>
  </si>
  <si>
    <t>кошти НСЗУ</t>
  </si>
  <si>
    <t>централізовані, благочинні, спонсорські, тощо</t>
  </si>
  <si>
    <t>Продукти харчування:</t>
  </si>
  <si>
    <t>Інші прямі витрати:</t>
  </si>
  <si>
    <t>бланки та інші прямі витрати</t>
  </si>
  <si>
    <t>ІІІ Загально-виробничі витрати</t>
  </si>
  <si>
    <t>Експлуатаційні витрати</t>
  </si>
  <si>
    <t>Витрати на опалення</t>
  </si>
  <si>
    <t>Витрати на освітлення</t>
  </si>
  <si>
    <t>Витрати на водопостачання та водовідведення</t>
  </si>
  <si>
    <t>Витрати на газ</t>
  </si>
  <si>
    <t>витрати на вивіз сміття</t>
  </si>
  <si>
    <t>витрати дезінфекції</t>
  </si>
  <si>
    <t>інші витрати</t>
  </si>
  <si>
    <t>Амортизаційні витрати</t>
  </si>
  <si>
    <t>амортизація обладнання, авто, тощо</t>
  </si>
  <si>
    <t>амортизація будівель та споруд</t>
  </si>
  <si>
    <t>Інші загально - виробничі витрати</t>
  </si>
  <si>
    <t>Паливо-мастильні матеріали</t>
  </si>
  <si>
    <t>Бензин (2500*61,67)</t>
  </si>
  <si>
    <t>Дизель (1500*60,93)</t>
  </si>
  <si>
    <t>Господарські товари, будівельні матеріали (В т.с. спец. - 64 500,00грн.</t>
  </si>
  <si>
    <t>засоби для чищення</t>
  </si>
  <si>
    <t>Канцтовари</t>
  </si>
  <si>
    <t>Папір ксероксний (315*220грн)</t>
  </si>
  <si>
    <t>Контейнер, мішки (побутові та медичні відходи)</t>
  </si>
  <si>
    <t>Спецодяг</t>
  </si>
  <si>
    <t>Запчастини до автомобілів</t>
  </si>
  <si>
    <t>Комп'ютерне обладання</t>
  </si>
  <si>
    <t>Поточний ремонт та технічне обслуговування транспортних засобів</t>
  </si>
  <si>
    <t>Поточний ремонт приміщень та/або будівель</t>
  </si>
  <si>
    <t>Поточний ремонт обладнання</t>
  </si>
  <si>
    <t>Технічне ослуговування медичного обладнання</t>
  </si>
  <si>
    <t>Визначення техзнічного стану медобладнання (повірка)</t>
  </si>
  <si>
    <t>Оплата послуг лікувальних, медичних закладів</t>
  </si>
  <si>
    <t>Послуги дослідження ВІЛ</t>
  </si>
  <si>
    <t>Гістологічне дослідження матеріалу</t>
  </si>
  <si>
    <t>Технічне ослуговування та ремонт комп'ютерної техніки в т.ч. заправка картриджів</t>
  </si>
  <si>
    <t>Обслуговування кисневих систем</t>
  </si>
  <si>
    <t>Аутсорсинг (прання медичної білизни)</t>
  </si>
  <si>
    <t>Вивіз небезпечних відходів</t>
  </si>
  <si>
    <t>Послуги із сурдоперекладу (12*550грн)</t>
  </si>
  <si>
    <t>Витрати на охорону праці</t>
  </si>
  <si>
    <t>Атестація робочих місць</t>
  </si>
  <si>
    <t>Послуги з очищення каналізації</t>
  </si>
  <si>
    <t>Витрати на страхування  автотранспорту та водіїв</t>
  </si>
  <si>
    <t>Супровід ПЗ Медінфосервіс</t>
  </si>
  <si>
    <t>Послуги з радіаційного контролю</t>
  </si>
  <si>
    <t>Курси з підвищення кваліфікації</t>
  </si>
  <si>
    <t>Послуги з обстеження будівель</t>
  </si>
  <si>
    <t>Інше</t>
  </si>
  <si>
    <t>Соціальне забезпечення</t>
  </si>
  <si>
    <t>Пільгові пенсії</t>
  </si>
  <si>
    <t>Пільгові медикаменти</t>
  </si>
  <si>
    <t>IV. Адміністративні витрати</t>
  </si>
  <si>
    <t>Оплата послуг (крім комунальних)</t>
  </si>
  <si>
    <t>Юридично-консультативні послуги (тендери, тощо)</t>
  </si>
  <si>
    <t>Банківські послуги, обслуговування рахунків (12*1540грн)</t>
  </si>
  <si>
    <t>Супровід ПЗ Кадри</t>
  </si>
  <si>
    <t>Супровід ПЗ Медок</t>
  </si>
  <si>
    <t>Послуги з оброблення даних Е-журналу обліку розпоряджень, рішень та приписів (12*363грн)</t>
  </si>
  <si>
    <t>Послуги у сфері локальних мереж</t>
  </si>
  <si>
    <t>Оплата участі у короткотермінових семінарах, вебінарах, нарадах, інформаційно-консультативні послуги,тощо</t>
  </si>
  <si>
    <t>Повірка приладів обліку</t>
  </si>
  <si>
    <t>Інші адміністративні витрати:</t>
  </si>
  <si>
    <t>витрати на канцтовари</t>
  </si>
  <si>
    <t>папір (165*220грн; 5*400грн)</t>
  </si>
  <si>
    <t>V. Інші видатки</t>
  </si>
  <si>
    <t>Незалежна оцінка орендованих приміщень</t>
  </si>
  <si>
    <t>Виконавчий лист, відшкодування, тощо</t>
  </si>
  <si>
    <t>Видатки всього</t>
  </si>
  <si>
    <t>VI. Розрахунки з бюджетом</t>
  </si>
  <si>
    <t>Сплата податків та зборів до Державного бюджету України (податкові платежі)</t>
  </si>
  <si>
    <t>Єдиний соціальний внесок</t>
  </si>
  <si>
    <t>Сплата податків та зборів до місцевих бюджетів</t>
  </si>
  <si>
    <t>ПДВ</t>
  </si>
  <si>
    <t>податок на землю</t>
  </si>
  <si>
    <t>Інші податки, збори та платежі на користь держави</t>
  </si>
  <si>
    <t>Військовий збір</t>
  </si>
  <si>
    <t>Податок з доходів фізичних осіб</t>
  </si>
  <si>
    <t>Податкова заборгованість</t>
  </si>
  <si>
    <t>VII. Капітальні інвестиції</t>
  </si>
  <si>
    <t>місцевий бюджет</t>
  </si>
  <si>
    <t>власні коштии</t>
  </si>
  <si>
    <t>кошти спонсорів</t>
  </si>
  <si>
    <t>Капітальне будівництво</t>
  </si>
  <si>
    <t>Придбання виготовлення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</si>
  <si>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</si>
  <si>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</si>
  <si>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</si>
  <si>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</si>
  <si>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ПОГОДЖЕНО:</t>
  </si>
  <si>
    <t>ЗАТВЕРДЖЕНО :</t>
  </si>
  <si>
    <t>Відділ економічного розвитку та інвестицій</t>
  </si>
  <si>
    <t>Рішення виконавчого комітету</t>
  </si>
  <si>
    <t xml:space="preserve"> </t>
  </si>
  <si>
    <t>Фінансовий відділ</t>
  </si>
  <si>
    <t>№_________</t>
  </si>
  <si>
    <t>Від "_____"______________________</t>
  </si>
  <si>
    <t>Відділ комунального майна та житлово-комунального господарства</t>
  </si>
  <si>
    <t>Проєкт</t>
  </si>
  <si>
    <t>Попередній</t>
  </si>
  <si>
    <t>Х</t>
  </si>
  <si>
    <t>Уточнений</t>
  </si>
  <si>
    <t>Зміни</t>
  </si>
  <si>
    <t>зробити позначку "Х"</t>
  </si>
  <si>
    <t>Рік</t>
  </si>
  <si>
    <t>Коди</t>
  </si>
  <si>
    <t xml:space="preserve">Назва підприємства  </t>
  </si>
  <si>
    <t xml:space="preserve">за ЄДРПОУ </t>
  </si>
  <si>
    <t xml:space="preserve">Організаційно-правова форма </t>
  </si>
  <si>
    <t>за КОПФГ</t>
  </si>
  <si>
    <t>Територія обслуговування</t>
  </si>
  <si>
    <t>за КОАТУУ</t>
  </si>
  <si>
    <t>за СПОДУ</t>
  </si>
  <si>
    <t xml:space="preserve">Вид економічної діяльності    </t>
  </si>
  <si>
    <t xml:space="preserve">за КВЕД  </t>
  </si>
  <si>
    <t xml:space="preserve">Одиниця виміру </t>
  </si>
  <si>
    <t>тис. грн.</t>
  </si>
  <si>
    <t>Форма власності</t>
  </si>
  <si>
    <t>Фактично зайняті посади</t>
  </si>
  <si>
    <t>Стандарти звітності П(с)БОУ</t>
  </si>
  <si>
    <t xml:space="preserve">Місцезнаходження  </t>
  </si>
  <si>
    <t>Стандарти звітності МСФЗ</t>
  </si>
  <si>
    <t xml:space="preserve">Телефон </t>
  </si>
  <si>
    <t>Прізвище та ініціали керівника</t>
  </si>
  <si>
    <t>ФІНАНСОВИЙ ПЛАН ПІДПРИЄМСТВА НА  2025  рік</t>
  </si>
  <si>
    <t xml:space="preserve">Код рядка </t>
  </si>
  <si>
    <t>Плановий 2025 рік</t>
  </si>
  <si>
    <t>У тому числі за кварталами планового 
2025 року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</si>
  <si>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</si>
  <si>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</si>
  <si>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</si>
  <si>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</si>
  <si>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</si>
  <si>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 xml:space="preserve">Доходи </t>
  </si>
  <si>
    <t>Дохід (виручка) від реалізації продукції (товарів, робіт, послуг) в рамках Програми медичних гарантій</t>
  </si>
  <si>
    <t>Дохід з місцевого бюджету, у т.ч.:</t>
  </si>
  <si>
    <t>окремі заходи по реалізації державних (регіональних) програм, не віднесені до заходів розвитку</t>
  </si>
  <si>
    <t>Забезпечення безоплатного та пільгового відпуску лікарських засобів 
певних  категорій населення на території Жидачівської міської територіальної громади на 2024-2026 роки</t>
  </si>
  <si>
    <t xml:space="preserve">Фінансової підтримки вторинної (спеціалізованої) медичної допомоги населенню КНП "Жидачівська МЛ"на 2024-2026 роки </t>
  </si>
  <si>
    <t>Дохід з місцевого бюджету за рахунок коштів резервного фонду</t>
  </si>
  <si>
    <t>Інші операційні доходи, у т.ч.:</t>
  </si>
  <si>
    <t>Безоплатні надходження або надходження у вигляді безповоротної фінансової допомоги (спонсорська допомога, добровільні пожертви, інший операційний дохід)</t>
  </si>
  <si>
    <t>Видатки</t>
  </si>
  <si>
    <t>Оплата праці всього персоналу (без нарахувань)</t>
  </si>
  <si>
    <t>Нарахування на оплату праці всього персоналу</t>
  </si>
  <si>
    <t>Медикаменти та перев'язувальні матеріали</t>
  </si>
  <si>
    <t>Предмети, матеріали, обладнання та інвентар для адміністрації</t>
  </si>
  <si>
    <t>Експлуатаційні витрати, у т.ч.:</t>
  </si>
  <si>
    <t>витрати на опалення</t>
  </si>
  <si>
    <t>витрати на освітлення</t>
  </si>
  <si>
    <t>витрати на водопостачання та водовідведення</t>
  </si>
  <si>
    <t>витрати на газ</t>
  </si>
  <si>
    <t>Інші прямі витрати</t>
  </si>
  <si>
    <t>Інші загальновиробничі витрати</t>
  </si>
  <si>
    <t>Інші адміністративні витрати</t>
  </si>
  <si>
    <t>Окремі заходи по реалізації державних (регіональних) програм, не віднесені до заходів розвитку</t>
  </si>
  <si>
    <t>Податки та збори (ПДВ, податок на землю, податок на транспорт і т.д.)</t>
  </si>
  <si>
    <t>Капітальні інвестиції (Амортизація)</t>
  </si>
  <si>
    <t>Інші видатки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</si>
  <si>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</si>
  <si>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</si>
  <si>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</si>
  <si>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</si>
  <si>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місцевих бюджетів (податкові платежі)</t>
  </si>
  <si>
    <t>III. Капітальні інвестиції</t>
  </si>
  <si>
    <t>Придбання (виготовлення) основних засобів</t>
  </si>
  <si>
    <t>IV. Фінансова діяльність</t>
  </si>
  <si>
    <t xml:space="preserve">Кредити </t>
  </si>
  <si>
    <t>Позики</t>
  </si>
  <si>
    <t>Депозити</t>
  </si>
  <si>
    <t>V. Звіт про фінансовий стан</t>
  </si>
  <si>
    <t xml:space="preserve">Необоротні активи </t>
  </si>
  <si>
    <t>х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</si>
  <si>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</si>
  <si>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</si>
  <si>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</si>
  <si>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</si>
  <si>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VI. Дані про персонал та оплата праці</t>
  </si>
  <si>
    <t>Штатна чисельність зайнятих посад (штатних працівників, зовнішніх сумісників та працівників, що працюють за цивільно-правовими договорами), у т.ч.:</t>
  </si>
  <si>
    <t>Молодший медичний персонал, лаборанти</t>
  </si>
  <si>
    <t>Фонд оплати праці, у т.ч.:</t>
  </si>
  <si>
    <t>Середньомісячні витрати на оплату праці на одну посаду,грн у т.ч.:</t>
  </si>
  <si>
    <t>Заборгованість за заробітною платою, у т.ч.:</t>
  </si>
  <si>
    <t>_________________________</t>
  </si>
  <si>
    <t>Людмила ЯРЕМЦЬО</t>
  </si>
  <si>
    <t xml:space="preserve">                         (посада)</t>
  </si>
  <si>
    <t xml:space="preserve">               (підпис)</t>
  </si>
  <si>
    <t xml:space="preserve">         (ім'я, ПРІЗВИЩЕ)    </t>
  </si>
  <si>
    <t>Діагностичні послуги, 912,72грн.</t>
  </si>
  <si>
    <t>З проведенням ендоскопічної маніпуляції та/або ендоскопічної операції, 1551,62 грн.</t>
  </si>
  <si>
    <t>Надходження ЗОЗ за пакетом "Веденя вагітності в амбулаторних умоваах"
 (вартість послуги 921,82грн.)</t>
  </si>
  <si>
    <t>Консультування та лікування</t>
  </si>
  <si>
    <t>Клас та сервіс</t>
  </si>
  <si>
    <t>к-ть</t>
  </si>
  <si>
    <t>ГБ</t>
  </si>
  <si>
    <t>Процедури</t>
  </si>
  <si>
    <t>Інструментальна діагностика</t>
  </si>
  <si>
    <t>Лаболаторна діагностика</t>
  </si>
  <si>
    <t>Медична карта стаціонарного хворого (6500*3,50)</t>
  </si>
  <si>
    <t>Супровід ПЗ зарплата (12*2720,0грн)</t>
  </si>
  <si>
    <t>Обслуговування сайту</t>
  </si>
  <si>
    <t>Супровід ПЗ Доктор -Елекс</t>
  </si>
  <si>
    <t>Розяснення капінвестицій</t>
  </si>
  <si>
    <t>Ліцензія МІС</t>
  </si>
  <si>
    <t>Охорона об'єктів (2 об'єкти 760*12 1360*12)</t>
  </si>
  <si>
    <t>Технічне обслуговування ліфтів (12 міс.*1274,92грн)</t>
  </si>
  <si>
    <t>Супровід ПЗ Дебет + (12*2835,0грн)</t>
  </si>
  <si>
    <t>Бланки суворої звітності (Спецфонд-15000,0, ППК)</t>
  </si>
  <si>
    <t>Технічне обслуговування протипожежного обладнання (899,5*12)</t>
  </si>
  <si>
    <t>Ліцензія медстат</t>
  </si>
  <si>
    <t>Зв'язок та інтернет (послуги провайдера) (12*780)</t>
  </si>
  <si>
    <t>Інформаційні таблички</t>
  </si>
  <si>
    <t>Утримання захисної споруди</t>
  </si>
  <si>
    <t>Кап ремонт ПКД</t>
  </si>
  <si>
    <t>24. Мобільна паліативна медична допомога дорослим та дітям</t>
  </si>
  <si>
    <t>Факт 2024 року</t>
  </si>
  <si>
    <t xml:space="preserve">Фінансовий план  2025 року </t>
  </si>
  <si>
    <t>Підйомна платформа</t>
  </si>
  <si>
    <t xml:space="preserve">Комп'ютерне обладнання </t>
  </si>
  <si>
    <t>Ремонт системи опал ДВ</t>
  </si>
  <si>
    <t>Ремонт НВ</t>
  </si>
  <si>
    <r>
      <t xml:space="preserve">Орган державного управління  </t>
    </r>
    <r>
      <rPr>
        <b/>
        <i/>
        <sz val="12"/>
        <rFont val="Times New Roman"/>
        <family val="1"/>
        <charset val="204"/>
      </rPr>
      <t xml:space="preserve"> </t>
    </r>
  </si>
  <si>
    <r>
      <t xml:space="preserve">Керівник </t>
    </r>
    <r>
      <rPr>
        <sz val="12"/>
        <rFont val="Times New Roman"/>
        <family val="1"/>
        <charset val="204"/>
      </rPr>
      <t>__Директор___</t>
    </r>
  </si>
  <si>
    <t>холодильник</t>
  </si>
  <si>
    <t>Підігрівач інфузійних розчинів</t>
  </si>
  <si>
    <t>кошти спонсорів, централізовано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</si>
</sst>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[Red]\-#,##0.00\ "/>
    <numFmt numFmtId="165" formatCode="_-* #,##0.00_₴_-;\-* #,##0.00_₴_-;_-* &quot;-&quot;??_₴_-;_-@_-"/>
    <numFmt numFmtId="166" formatCode="_-* #,##0.00\ _₴_-;\-* #,##0.00\ _₴_-;_-* &quot;-&quot;??\ _₴_-;_-@_-"/>
    <numFmt numFmtId="167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u/>
      <sz val="11"/>
      <color rgb="FFC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 Cyr"/>
      <charset val="204"/>
    </font>
    <font>
      <b/>
      <i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trike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5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wrapText="1"/>
    </xf>
    <xf numFmtId="9" fontId="8" fillId="3" borderId="1" xfId="2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3" fontId="8" fillId="3" borderId="1" xfId="0" applyNumberFormat="1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 wrapText="1"/>
    </xf>
    <xf numFmtId="4" fontId="8" fillId="0" borderId="1" xfId="2" applyNumberFormat="1" applyFont="1" applyFill="1" applyBorder="1" applyAlignment="1">
      <alignment horizontal="center" wrapText="1"/>
    </xf>
    <xf numFmtId="3" fontId="7" fillId="3" borderId="1" xfId="0" applyNumberFormat="1" applyFont="1" applyFill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wrapText="1"/>
    </xf>
    <xf numFmtId="4" fontId="7" fillId="0" borderId="1" xfId="0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4" fontId="10" fillId="5" borderId="1" xfId="0" applyNumberFormat="1" applyFont="1" applyFill="1" applyBorder="1"/>
    <xf numFmtId="4" fontId="4" fillId="5" borderId="1" xfId="0" applyNumberFormat="1" applyFont="1" applyFill="1" applyBorder="1"/>
    <xf numFmtId="0" fontId="4" fillId="0" borderId="1" xfId="0" applyFont="1" applyBorder="1"/>
    <xf numFmtId="0" fontId="11" fillId="0" borderId="1" xfId="0" applyFont="1" applyBorder="1" applyAlignment="1">
      <alignment horizontal="left" wrapText="1" indent="3"/>
    </xf>
    <xf numFmtId="0" fontId="11" fillId="0" borderId="1" xfId="0" applyFont="1" applyBorder="1" applyAlignment="1">
      <alignment horizontal="left" indent="3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" fontId="12" fillId="5" borderId="1" xfId="0" applyNumberFormat="1" applyFont="1" applyFill="1" applyBorder="1"/>
    <xf numFmtId="4" fontId="13" fillId="5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4" fillId="0" borderId="1" xfId="0" applyNumberFormat="1" applyFont="1" applyBorder="1" applyAlignment="1">
      <alignment horizontal="center"/>
    </xf>
    <xf numFmtId="4" fontId="5" fillId="7" borderId="1" xfId="0" applyNumberFormat="1" applyFont="1" applyFill="1" applyBorder="1"/>
    <xf numFmtId="4" fontId="5" fillId="7" borderId="1" xfId="0" applyNumberFormat="1" applyFont="1" applyFill="1" applyBorder="1" applyAlignment="1">
      <alignment horizontal="center"/>
    </xf>
    <xf numFmtId="4" fontId="5" fillId="0" borderId="0" xfId="0" applyNumberFormat="1" applyFont="1"/>
    <xf numFmtId="4" fontId="4" fillId="2" borderId="1" xfId="0" applyNumberFormat="1" applyFont="1" applyFill="1" applyBorder="1" applyAlignment="1">
      <alignment wrapText="1"/>
    </xf>
    <xf numFmtId="4" fontId="4" fillId="2" borderId="1" xfId="0" applyNumberFormat="1" applyFont="1" applyFill="1" applyBorder="1"/>
    <xf numFmtId="4" fontId="4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16" fillId="0" borderId="10" xfId="0" applyFont="1" applyBorder="1" applyAlignment="1">
      <alignment wrapText="1"/>
    </xf>
    <xf numFmtId="0" fontId="16" fillId="0" borderId="6" xfId="0" applyFont="1" applyBorder="1" applyAlignment="1">
      <alignment wrapText="1"/>
    </xf>
    <xf numFmtId="165" fontId="4" fillId="0" borderId="10" xfId="0" applyNumberFormat="1" applyFont="1" applyBorder="1" applyAlignment="1">
      <alignment horizontal="center" vertical="center"/>
    </xf>
    <xf numFmtId="0" fontId="4" fillId="0" borderId="6" xfId="0" applyFont="1" applyBorder="1"/>
    <xf numFmtId="164" fontId="4" fillId="0" borderId="0" xfId="0" applyNumberFormat="1" applyFont="1"/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" xfId="0" applyNumberFormat="1" applyFont="1" applyBorder="1"/>
    <xf numFmtId="164" fontId="5" fillId="0" borderId="0" xfId="0" applyNumberFormat="1" applyFont="1"/>
    <xf numFmtId="4" fontId="4" fillId="0" borderId="1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5" fontId="4" fillId="8" borderId="10" xfId="0" applyNumberFormat="1" applyFont="1" applyFill="1" applyBorder="1" applyAlignment="1">
      <alignment horizontal="center" vertical="center"/>
    </xf>
    <xf numFmtId="166" fontId="4" fillId="0" borderId="0" xfId="1" applyNumberFormat="1" applyFont="1"/>
    <xf numFmtId="165" fontId="5" fillId="0" borderId="10" xfId="0" applyNumberFormat="1" applyFont="1" applyBorder="1" applyAlignment="1">
      <alignment horizontal="center" vertical="center"/>
    </xf>
    <xf numFmtId="0" fontId="17" fillId="0" borderId="0" xfId="0" applyFont="1"/>
    <xf numFmtId="0" fontId="15" fillId="0" borderId="1" xfId="0" applyFont="1" applyBorder="1"/>
    <xf numFmtId="9" fontId="15" fillId="0" borderId="1" xfId="2" applyFont="1" applyBorder="1" applyAlignment="1"/>
    <xf numFmtId="9" fontId="15" fillId="0" borderId="1" xfId="2" applyFont="1" applyBorder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" fontId="15" fillId="0" borderId="0" xfId="0" applyNumberFormat="1" applyFont="1"/>
    <xf numFmtId="4" fontId="17" fillId="0" borderId="0" xfId="0" applyNumberFormat="1" applyFont="1"/>
    <xf numFmtId="166" fontId="17" fillId="0" borderId="0" xfId="0" applyNumberFormat="1" applyFont="1"/>
    <xf numFmtId="0" fontId="4" fillId="0" borderId="12" xfId="0" applyFont="1" applyBorder="1"/>
    <xf numFmtId="4" fontId="4" fillId="0" borderId="13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0" fontId="5" fillId="9" borderId="15" xfId="0" applyFont="1" applyFill="1" applyBorder="1" applyAlignment="1">
      <alignment vertical="center" wrapText="1"/>
    </xf>
    <xf numFmtId="4" fontId="5" fillId="9" borderId="1" xfId="0" applyNumberFormat="1" applyFont="1" applyFill="1" applyBorder="1" applyAlignment="1">
      <alignment vertical="center"/>
    </xf>
    <xf numFmtId="4" fontId="5" fillId="9" borderId="16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5" xfId="0" applyFont="1" applyBorder="1"/>
    <xf numFmtId="4" fontId="5" fillId="5" borderId="1" xfId="0" applyNumberFormat="1" applyFont="1" applyFill="1" applyBorder="1"/>
    <xf numFmtId="4" fontId="5" fillId="5" borderId="16" xfId="0" applyNumberFormat="1" applyFont="1" applyFill="1" applyBorder="1"/>
    <xf numFmtId="0" fontId="4" fillId="0" borderId="15" xfId="0" applyFont="1" applyBorder="1" applyAlignment="1">
      <alignment horizontal="left" indent="2"/>
    </xf>
    <xf numFmtId="4" fontId="18" fillId="5" borderId="1" xfId="0" applyNumberFormat="1" applyFont="1" applyFill="1" applyBorder="1"/>
    <xf numFmtId="4" fontId="4" fillId="5" borderId="16" xfId="0" applyNumberFormat="1" applyFont="1" applyFill="1" applyBorder="1"/>
    <xf numFmtId="4" fontId="19" fillId="5" borderId="1" xfId="0" applyNumberFormat="1" applyFont="1" applyFill="1" applyBorder="1"/>
    <xf numFmtId="4" fontId="19" fillId="5" borderId="16" xfId="0" applyNumberFormat="1" applyFont="1" applyFill="1" applyBorder="1"/>
    <xf numFmtId="0" fontId="19" fillId="0" borderId="0" xfId="0" applyFont="1"/>
    <xf numFmtId="0" fontId="4" fillId="0" borderId="17" xfId="0" applyFont="1" applyBorder="1" applyAlignment="1">
      <alignment horizontal="left" indent="2"/>
    </xf>
    <xf numFmtId="4" fontId="4" fillId="5" borderId="18" xfId="0" applyNumberFormat="1" applyFont="1" applyFill="1" applyBorder="1"/>
    <xf numFmtId="4" fontId="4" fillId="5" borderId="19" xfId="0" applyNumberFormat="1" applyFont="1" applyFill="1" applyBorder="1"/>
    <xf numFmtId="0" fontId="5" fillId="10" borderId="20" xfId="0" applyFont="1" applyFill="1" applyBorder="1"/>
    <xf numFmtId="4" fontId="5" fillId="5" borderId="9" xfId="0" applyNumberFormat="1" applyFont="1" applyFill="1" applyBorder="1"/>
    <xf numFmtId="4" fontId="5" fillId="5" borderId="21" xfId="0" applyNumberFormat="1" applyFont="1" applyFill="1" applyBorder="1"/>
    <xf numFmtId="0" fontId="5" fillId="10" borderId="12" xfId="0" applyFont="1" applyFill="1" applyBorder="1"/>
    <xf numFmtId="4" fontId="5" fillId="10" borderId="13" xfId="0" applyNumberFormat="1" applyFont="1" applyFill="1" applyBorder="1"/>
    <xf numFmtId="4" fontId="5" fillId="10" borderId="14" xfId="0" applyNumberFormat="1" applyFont="1" applyFill="1" applyBorder="1"/>
    <xf numFmtId="0" fontId="5" fillId="0" borderId="12" xfId="0" applyFont="1" applyBorder="1"/>
    <xf numFmtId="4" fontId="5" fillId="5" borderId="13" xfId="0" applyNumberFormat="1" applyFont="1" applyFill="1" applyBorder="1"/>
    <xf numFmtId="4" fontId="5" fillId="5" borderId="14" xfId="0" applyNumberFormat="1" applyFont="1" applyFill="1" applyBorder="1"/>
    <xf numFmtId="4" fontId="4" fillId="5" borderId="8" xfId="0" applyNumberFormat="1" applyFont="1" applyFill="1" applyBorder="1"/>
    <xf numFmtId="0" fontId="15" fillId="0" borderId="15" xfId="3" applyFont="1" applyBorder="1" applyAlignment="1">
      <alignment horizontal="left" vertical="center" wrapText="1" indent="4"/>
    </xf>
    <xf numFmtId="0" fontId="11" fillId="0" borderId="15" xfId="0" applyFont="1" applyBorder="1"/>
    <xf numFmtId="4" fontId="11" fillId="5" borderId="1" xfId="0" applyNumberFormat="1" applyFont="1" applyFill="1" applyBorder="1"/>
    <xf numFmtId="4" fontId="11" fillId="5" borderId="16" xfId="0" applyNumberFormat="1" applyFont="1" applyFill="1" applyBorder="1"/>
    <xf numFmtId="0" fontId="11" fillId="0" borderId="17" xfId="0" applyFont="1" applyBorder="1" applyAlignment="1">
      <alignment wrapText="1"/>
    </xf>
    <xf numFmtId="4" fontId="11" fillId="5" borderId="18" xfId="0" applyNumberFormat="1" applyFont="1" applyFill="1" applyBorder="1"/>
    <xf numFmtId="4" fontId="11" fillId="5" borderId="19" xfId="0" applyNumberFormat="1" applyFont="1" applyFill="1" applyBorder="1"/>
    <xf numFmtId="0" fontId="5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 wrapText="1" indent="2"/>
    </xf>
    <xf numFmtId="0" fontId="11" fillId="0" borderId="15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5" fillId="0" borderId="15" xfId="0" applyFont="1" applyBorder="1" applyAlignment="1">
      <alignment horizontal="left" indent="2"/>
    </xf>
    <xf numFmtId="0" fontId="11" fillId="0" borderId="15" xfId="0" applyFont="1" applyBorder="1" applyAlignment="1">
      <alignment horizontal="left" wrapText="1"/>
    </xf>
    <xf numFmtId="0" fontId="11" fillId="0" borderId="17" xfId="0" applyFont="1" applyBorder="1"/>
    <xf numFmtId="0" fontId="4" fillId="0" borderId="15" xfId="0" applyFont="1" applyBorder="1"/>
    <xf numFmtId="0" fontId="4" fillId="0" borderId="17" xfId="0" applyFont="1" applyBorder="1"/>
    <xf numFmtId="0" fontId="5" fillId="11" borderId="22" xfId="0" applyFont="1" applyFill="1" applyBorder="1"/>
    <xf numFmtId="4" fontId="5" fillId="5" borderId="23" xfId="0" applyNumberFormat="1" applyFont="1" applyFill="1" applyBorder="1"/>
    <xf numFmtId="0" fontId="5" fillId="9" borderId="12" xfId="0" applyFont="1" applyFill="1" applyBorder="1"/>
    <xf numFmtId="4" fontId="5" fillId="9" borderId="13" xfId="0" applyNumberFormat="1" applyFont="1" applyFill="1" applyBorder="1"/>
    <xf numFmtId="4" fontId="5" fillId="9" borderId="14" xfId="0" applyNumberFormat="1" applyFont="1" applyFill="1" applyBorder="1"/>
    <xf numFmtId="0" fontId="11" fillId="12" borderId="15" xfId="0" applyFont="1" applyFill="1" applyBorder="1"/>
    <xf numFmtId="4" fontId="11" fillId="5" borderId="9" xfId="0" applyNumberFormat="1" applyFont="1" applyFill="1" applyBorder="1"/>
    <xf numFmtId="4" fontId="11" fillId="5" borderId="21" xfId="0" applyNumberFormat="1" applyFont="1" applyFill="1" applyBorder="1"/>
    <xf numFmtId="0" fontId="21" fillId="0" borderId="0" xfId="0" applyFont="1"/>
    <xf numFmtId="0" fontId="11" fillId="0" borderId="0" xfId="0" applyFont="1"/>
    <xf numFmtId="17" fontId="7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11" fillId="0" borderId="15" xfId="0" applyFont="1" applyBorder="1" applyAlignment="1">
      <alignment wrapText="1"/>
    </xf>
    <xf numFmtId="4" fontId="4" fillId="0" borderId="1" xfId="0" applyNumberFormat="1" applyFont="1" applyFill="1" applyBorder="1"/>
    <xf numFmtId="0" fontId="5" fillId="0" borderId="15" xfId="0" applyFont="1" applyFill="1" applyBorder="1"/>
    <xf numFmtId="0" fontId="4" fillId="0" borderId="15" xfId="0" applyFont="1" applyFill="1" applyBorder="1" applyAlignment="1">
      <alignment horizontal="left" indent="2"/>
    </xf>
    <xf numFmtId="0" fontId="19" fillId="0" borderId="15" xfId="0" applyFont="1" applyFill="1" applyBorder="1"/>
    <xf numFmtId="0" fontId="4" fillId="0" borderId="17" xfId="0" applyFont="1" applyFill="1" applyBorder="1" applyAlignment="1">
      <alignment horizontal="left" indent="2"/>
    </xf>
    <xf numFmtId="0" fontId="4" fillId="8" borderId="15" xfId="0" applyFont="1" applyFill="1" applyBorder="1" applyAlignment="1">
      <alignment horizontal="left" indent="2"/>
    </xf>
    <xf numFmtId="0" fontId="4" fillId="8" borderId="17" xfId="0" applyFont="1" applyFill="1" applyBorder="1" applyAlignment="1">
      <alignment horizontal="left" indent="2"/>
    </xf>
    <xf numFmtId="0" fontId="7" fillId="0" borderId="0" xfId="0" applyFont="1"/>
    <xf numFmtId="0" fontId="25" fillId="0" borderId="0" xfId="3" applyFont="1"/>
    <xf numFmtId="0" fontId="25" fillId="0" borderId="0" xfId="3" applyFont="1" applyFill="1" applyAlignment="1">
      <alignment vertical="center"/>
    </xf>
    <xf numFmtId="0" fontId="25" fillId="0" borderId="0" xfId="3" applyFont="1" applyAlignment="1">
      <alignment vertical="center"/>
    </xf>
    <xf numFmtId="0" fontId="25" fillId="0" borderId="3" xfId="3" applyFont="1" applyBorder="1" applyAlignment="1">
      <alignment vertical="center"/>
    </xf>
    <xf numFmtId="0" fontId="25" fillId="0" borderId="0" xfId="3" applyFont="1" applyAlignment="1">
      <alignment horizontal="left" vertical="center"/>
    </xf>
    <xf numFmtId="0" fontId="25" fillId="0" borderId="0" xfId="3" applyFont="1" applyFill="1"/>
    <xf numFmtId="0" fontId="25" fillId="0" borderId="0" xfId="3" applyFont="1" applyAlignment="1">
      <alignment horizontal="left" wrapText="1"/>
    </xf>
    <xf numFmtId="0" fontId="25" fillId="0" borderId="3" xfId="3" applyFont="1" applyBorder="1"/>
    <xf numFmtId="0" fontId="25" fillId="0" borderId="0" xfId="3" applyFont="1" applyFill="1" applyAlignment="1">
      <alignment horizontal="center"/>
    </xf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0" borderId="4" xfId="3" applyFont="1" applyBorder="1" applyAlignment="1">
      <alignment vertical="center"/>
    </xf>
    <xf numFmtId="0" fontId="25" fillId="0" borderId="4" xfId="3" applyFont="1" applyBorder="1" applyAlignment="1">
      <alignment horizontal="left" vertical="center" wrapText="1"/>
    </xf>
    <xf numFmtId="49" fontId="25" fillId="0" borderId="1" xfId="3" applyNumberFormat="1" applyFont="1" applyBorder="1" applyAlignment="1">
      <alignment horizontal="center" vertical="center"/>
    </xf>
    <xf numFmtId="0" fontId="25" fillId="0" borderId="24" xfId="3" applyFont="1" applyBorder="1" applyAlignment="1">
      <alignment vertical="center"/>
    </xf>
    <xf numFmtId="0" fontId="25" fillId="0" borderId="25" xfId="3" applyFont="1" applyBorder="1" applyAlignment="1">
      <alignment vertical="center"/>
    </xf>
    <xf numFmtId="0" fontId="25" fillId="0" borderId="26" xfId="3" applyFont="1" applyBorder="1" applyAlignment="1">
      <alignment vertical="center"/>
    </xf>
    <xf numFmtId="0" fontId="25" fillId="0" borderId="7" xfId="3" applyFont="1" applyBorder="1" applyAlignment="1">
      <alignment vertical="center"/>
    </xf>
    <xf numFmtId="0" fontId="25" fillId="0" borderId="27" xfId="3" applyFont="1" applyBorder="1" applyAlignment="1">
      <alignment vertical="center"/>
    </xf>
    <xf numFmtId="0" fontId="7" fillId="0" borderId="4" xfId="3" applyFont="1" applyBorder="1" applyAlignment="1">
      <alignment horizontal="left" vertical="center" wrapText="1"/>
    </xf>
    <xf numFmtId="0" fontId="25" fillId="0" borderId="1" xfId="3" applyFont="1" applyBorder="1" applyAlignment="1">
      <alignment horizontal="center" vertical="center" wrapText="1"/>
    </xf>
    <xf numFmtId="0" fontId="25" fillId="0" borderId="1" xfId="3" applyFont="1" applyBorder="1" applyAlignment="1">
      <alignment vertical="center" wrapText="1"/>
    </xf>
    <xf numFmtId="0" fontId="25" fillId="0" borderId="5" xfId="3" applyFont="1" applyBorder="1" applyAlignment="1">
      <alignment vertical="center" wrapText="1"/>
    </xf>
    <xf numFmtId="0" fontId="25" fillId="0" borderId="6" xfId="3" applyFont="1" applyBorder="1" applyAlignment="1">
      <alignment vertical="center" wrapText="1"/>
    </xf>
    <xf numFmtId="0" fontId="25" fillId="0" borderId="5" xfId="3" applyFont="1" applyBorder="1" applyAlignment="1">
      <alignment vertical="center"/>
    </xf>
    <xf numFmtId="0" fontId="25" fillId="0" borderId="6" xfId="3" applyFont="1" applyBorder="1" applyAlignment="1">
      <alignment vertical="center"/>
    </xf>
    <xf numFmtId="0" fontId="27" fillId="0" borderId="0" xfId="3" applyFont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27" fillId="0" borderId="0" xfId="3" applyFont="1" applyFill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 shrinkToFit="1"/>
    </xf>
    <xf numFmtId="0" fontId="25" fillId="0" borderId="1" xfId="3" applyFont="1" applyFill="1" applyBorder="1" applyAlignment="1">
      <alignment horizontal="center" vertical="center" wrapText="1"/>
    </xf>
    <xf numFmtId="0" fontId="27" fillId="0" borderId="0" xfId="3" applyFont="1" applyAlignment="1">
      <alignment vertical="center"/>
    </xf>
    <xf numFmtId="0" fontId="25" fillId="0" borderId="1" xfId="3" applyFont="1" applyBorder="1" applyAlignment="1">
      <alignment horizontal="left" vertical="center" wrapText="1"/>
    </xf>
    <xf numFmtId="0" fontId="25" fillId="0" borderId="1" xfId="3" quotePrefix="1" applyFont="1" applyBorder="1" applyAlignment="1">
      <alignment horizontal="center" vertical="center"/>
    </xf>
    <xf numFmtId="4" fontId="25" fillId="0" borderId="1" xfId="3" applyNumberFormat="1" applyFont="1" applyBorder="1" applyAlignment="1">
      <alignment horizontal="center" vertical="center" wrapText="1"/>
    </xf>
    <xf numFmtId="4" fontId="25" fillId="0" borderId="1" xfId="3" applyNumberFormat="1" applyFont="1" applyFill="1" applyBorder="1" applyAlignment="1">
      <alignment horizontal="center" vertical="center" wrapText="1"/>
    </xf>
    <xf numFmtId="4" fontId="25" fillId="3" borderId="1" xfId="3" applyNumberFormat="1" applyFont="1" applyFill="1" applyBorder="1" applyAlignment="1">
      <alignment horizontal="center" vertical="center" wrapText="1"/>
    </xf>
    <xf numFmtId="0" fontId="25" fillId="0" borderId="1" xfId="3" applyFont="1" applyBorder="1" applyAlignment="1">
      <alignment horizontal="left" vertical="center" wrapText="1" indent="2"/>
    </xf>
    <xf numFmtId="4" fontId="25" fillId="0" borderId="1" xfId="3" applyNumberFormat="1" applyFont="1" applyBorder="1" applyAlignment="1">
      <alignment horizontal="center" vertical="center"/>
    </xf>
    <xf numFmtId="4" fontId="25" fillId="13" borderId="1" xfId="3" applyNumberFormat="1" applyFont="1" applyFill="1" applyBorder="1" applyAlignment="1">
      <alignment horizontal="center" vertical="center" wrapText="1"/>
    </xf>
    <xf numFmtId="0" fontId="28" fillId="0" borderId="0" xfId="3" applyFont="1" applyAlignment="1">
      <alignment vertical="center"/>
    </xf>
    <xf numFmtId="0" fontId="27" fillId="0" borderId="1" xfId="3" applyFont="1" applyBorder="1" applyAlignment="1">
      <alignment horizontal="left" vertical="center" wrapText="1"/>
    </xf>
    <xf numFmtId="4" fontId="25" fillId="0" borderId="1" xfId="4" applyNumberFormat="1" applyFont="1" applyFill="1" applyBorder="1" applyAlignment="1">
      <alignment horizontal="center" vertical="center" wrapText="1"/>
    </xf>
    <xf numFmtId="0" fontId="25" fillId="0" borderId="1" xfId="3" quotePrefix="1" applyFont="1" applyBorder="1" applyAlignment="1">
      <alignment horizontal="center" vertical="center" wrapText="1"/>
    </xf>
    <xf numFmtId="3" fontId="25" fillId="0" borderId="1" xfId="3" applyNumberFormat="1" applyFont="1" applyBorder="1" applyAlignment="1">
      <alignment horizontal="center" vertical="center" wrapText="1"/>
    </xf>
    <xf numFmtId="3" fontId="25" fillId="0" borderId="1" xfId="3" applyNumberFormat="1" applyFont="1" applyFill="1" applyBorder="1" applyAlignment="1">
      <alignment horizontal="center" vertical="center" wrapText="1"/>
    </xf>
    <xf numFmtId="3" fontId="25" fillId="3" borderId="1" xfId="3" applyNumberFormat="1" applyFont="1" applyFill="1" applyBorder="1" applyAlignment="1">
      <alignment horizontal="center" vertical="center" wrapText="1"/>
    </xf>
    <xf numFmtId="0" fontId="29" fillId="0" borderId="0" xfId="3" applyFont="1" applyAlignment="1">
      <alignment vertical="center"/>
    </xf>
    <xf numFmtId="2" fontId="25" fillId="0" borderId="1" xfId="3" applyNumberFormat="1" applyFont="1" applyBorder="1" applyAlignment="1">
      <alignment horizontal="center" vertical="center" wrapText="1"/>
    </xf>
    <xf numFmtId="2" fontId="25" fillId="0" borderId="1" xfId="3" applyNumberFormat="1" applyFont="1" applyFill="1" applyBorder="1" applyAlignment="1">
      <alignment horizontal="center" vertical="center" wrapText="1"/>
    </xf>
    <xf numFmtId="0" fontId="25" fillId="0" borderId="0" xfId="3" applyFont="1" applyAlignment="1">
      <alignment horizontal="left" vertical="center" wrapText="1"/>
    </xf>
    <xf numFmtId="167" fontId="25" fillId="0" borderId="0" xfId="3" applyNumberFormat="1" applyFont="1" applyAlignment="1">
      <alignment horizontal="center" vertical="center" wrapText="1"/>
    </xf>
    <xf numFmtId="167" fontId="25" fillId="0" borderId="0" xfId="3" applyNumberFormat="1" applyFont="1" applyAlignment="1">
      <alignment horizontal="right" vertical="center" wrapText="1"/>
    </xf>
    <xf numFmtId="167" fontId="25" fillId="0" borderId="0" xfId="3" applyNumberFormat="1" applyFont="1" applyFill="1" applyAlignment="1">
      <alignment horizontal="right" vertical="center" wrapText="1"/>
    </xf>
    <xf numFmtId="0" fontId="27" fillId="0" borderId="0" xfId="3" applyFont="1" applyAlignment="1">
      <alignment horizontal="left" vertical="center" wrapText="1"/>
    </xf>
    <xf numFmtId="0" fontId="25" fillId="0" borderId="0" xfId="3" quotePrefix="1" applyFont="1" applyAlignment="1">
      <alignment horizontal="center" vertical="center"/>
    </xf>
    <xf numFmtId="167" fontId="30" fillId="0" borderId="0" xfId="3" applyNumberFormat="1" applyFont="1" applyAlignment="1">
      <alignment vertical="center"/>
    </xf>
    <xf numFmtId="0" fontId="25" fillId="0" borderId="0" xfId="3" applyFont="1" applyAlignment="1">
      <alignment vertical="center" wrapText="1"/>
    </xf>
    <xf numFmtId="0" fontId="25" fillId="0" borderId="0" xfId="3" applyFont="1" applyFill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" fontId="14" fillId="6" borderId="0" xfId="0" applyNumberFormat="1" applyFont="1" applyFill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/>
    <xf numFmtId="0" fontId="15" fillId="0" borderId="3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27" fillId="0" borderId="4" xfId="3" applyFont="1" applyBorder="1" applyAlignment="1">
      <alignment horizontal="left" vertical="center" wrapText="1"/>
    </xf>
    <xf numFmtId="0" fontId="27" fillId="0" borderId="5" xfId="3" applyFont="1" applyBorder="1" applyAlignment="1">
      <alignment horizontal="left" vertical="center" wrapText="1"/>
    </xf>
    <xf numFmtId="0" fontId="27" fillId="0" borderId="6" xfId="3" applyFont="1" applyBorder="1" applyAlignment="1">
      <alignment horizontal="left" vertical="center" wrapText="1"/>
    </xf>
    <xf numFmtId="167" fontId="25" fillId="0" borderId="0" xfId="3" applyNumberFormat="1" applyFont="1" applyAlignment="1">
      <alignment horizontal="left" vertical="center" wrapText="1"/>
    </xf>
    <xf numFmtId="0" fontId="25" fillId="0" borderId="3" xfId="3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25" fillId="0" borderId="0" xfId="3" applyFont="1" applyAlignment="1">
      <alignment horizontal="center" vertical="center"/>
    </xf>
    <xf numFmtId="0" fontId="25" fillId="0" borderId="4" xfId="3" applyFont="1" applyBorder="1" applyAlignment="1">
      <alignment horizontal="center" vertical="center" wrapText="1"/>
    </xf>
    <xf numFmtId="0" fontId="25" fillId="0" borderId="5" xfId="3" applyFont="1" applyBorder="1" applyAlignment="1">
      <alignment horizontal="center" vertical="center" wrapText="1"/>
    </xf>
    <xf numFmtId="0" fontId="25" fillId="0" borderId="6" xfId="3" applyFont="1" applyBorder="1" applyAlignment="1">
      <alignment horizontal="center" vertical="center" wrapText="1"/>
    </xf>
    <xf numFmtId="0" fontId="27" fillId="0" borderId="4" xfId="3" applyFont="1" applyBorder="1" applyAlignment="1">
      <alignment horizontal="center" vertical="center" wrapText="1"/>
    </xf>
    <xf numFmtId="0" fontId="27" fillId="0" borderId="5" xfId="3" applyFont="1" applyBorder="1" applyAlignment="1">
      <alignment horizontal="center" vertical="center" wrapText="1"/>
    </xf>
    <xf numFmtId="0" fontId="27" fillId="0" borderId="6" xfId="3" applyFont="1" applyBorder="1" applyAlignment="1">
      <alignment horizontal="center" vertical="center" wrapText="1"/>
    </xf>
    <xf numFmtId="0" fontId="27" fillId="0" borderId="0" xfId="3" applyFont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 wrapText="1"/>
    </xf>
    <xf numFmtId="0" fontId="25" fillId="0" borderId="1" xfId="3" applyFont="1" applyFill="1" applyBorder="1" applyAlignment="1">
      <alignment horizontal="center" vertical="center" wrapText="1"/>
    </xf>
    <xf numFmtId="0" fontId="25" fillId="0" borderId="5" xfId="3" applyFont="1" applyBorder="1" applyAlignment="1">
      <alignment horizontal="left" vertical="center" wrapText="1"/>
    </xf>
    <xf numFmtId="0" fontId="25" fillId="0" borderId="6" xfId="3" applyFont="1" applyBorder="1" applyAlignment="1">
      <alignment horizontal="left" vertical="center" wrapText="1"/>
    </xf>
    <xf numFmtId="0" fontId="25" fillId="0" borderId="4" xfId="3" applyFont="1" applyBorder="1" applyAlignment="1">
      <alignment horizontal="left" vertical="center"/>
    </xf>
    <xf numFmtId="0" fontId="25" fillId="0" borderId="6" xfId="3" applyFont="1" applyBorder="1" applyAlignment="1">
      <alignment horizontal="left" vertical="center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25" fillId="0" borderId="4" xfId="3" applyFont="1" applyBorder="1" applyAlignment="1">
      <alignment horizontal="left" vertical="center" wrapText="1"/>
    </xf>
    <xf numFmtId="49" fontId="25" fillId="0" borderId="5" xfId="3" applyNumberFormat="1" applyFont="1" applyBorder="1" applyAlignment="1">
      <alignment horizontal="left" vertical="center" wrapText="1"/>
    </xf>
    <xf numFmtId="0" fontId="25" fillId="0" borderId="4" xfId="3" applyFont="1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25" fillId="0" borderId="6" xfId="3" applyFont="1" applyBorder="1" applyAlignment="1">
      <alignment horizontal="center" vertical="center"/>
    </xf>
    <xf numFmtId="0" fontId="25" fillId="0" borderId="1" xfId="3" applyFont="1" applyBorder="1" applyAlignment="1">
      <alignment horizontal="left" vertical="center"/>
    </xf>
  </cellXfs>
  <cellStyles count="5">
    <cellStyle name="Відсотковий" xfId="2" builtinId="5"/>
    <cellStyle name="Звичайний" xfId="0" builtinId="0"/>
    <cellStyle name="Обычный 2" xfId="3" xr:uid="{0FF7481B-2B73-4D6C-97BD-494208EE7761}"/>
    <cellStyle name="Процентный 2" xfId="4" xr:uid="{083F721F-5909-4BB1-8FDD-6EADC2E2E063}"/>
    <cellStyle name="Фінансовий" xfId="1" builtinId="3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86;&#1073;&#1086;&#1095;&#1080;&#1081;%20&#1089;&#1090;&#1110;&#1083;%202024/&#1050;&#1053;&#1055;%20&#1046;&#1080;&#1076;&#1072;&#1095;&#1110;&#1074;&#1089;&#1100;&#1082;&#1072;%20&#1052;&#1051;%202024/&#1060;&#1110;&#1085;&#1055;&#1083;&#1072;&#1085;%202025/&#1060;&#1110;&#1085;&#1055;&#1083;&#1072;&#1085;%202025%20(&#1055;&#1056;&#1054;&#1028;&#1050;&#1058;)/&#1044;&#1083;&#1103;%20&#1092;&#1110;&#1085;&#1072;&#1085;&#1089;&#1086;&#1074;&#1086;&#1075;&#1086;%20&#1087;&#1083;&#1072;&#1085;&#1091;&#1074;&#1072;&#1085;&#1085;&#1103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3;&#1055;%20&#1046;&#1080;&#1076;&#1072;&#1095;&#1110;&#1074;&#1089;&#1100;&#1082;&#1072;%20&#1052;&#1051;%202024/&#1060;&#1110;&#1085;&#1055;&#1083;&#1072;&#1085;%202024/VDALO_plan_4.0_Oct_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86;&#1073;&#1086;&#1095;&#1080;&#1081;%20&#1089;&#1090;&#1110;&#1083;%202025/&#1050;&#1053;&#1055;%20&#1046;&#1080;&#1076;&#1072;&#1095;&#1110;&#1074;&#1089;&#1100;&#1082;&#1072;%20&#1052;&#1051;%202025/&#1060;&#1110;&#1085;&#1055;&#1083;&#1072;&#1085;%202025/&#1060;&#1110;&#1085;&#1055;&#1083;&#1072;&#1085;%202025%20(&#1055;&#1056;&#1054;&#1028;&#1050;&#1058;)/&#1060;&#1110;&#1085;&#1055;&#1083;&#1072;&#1085;%20&#1085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від НСЗУ"/>
      <sheetName val="Інші доходи"/>
      <sheetName val="Всього доходи"/>
      <sheetName val="МедПрод"/>
      <sheetName val="Видатки"/>
      <sheetName val="ФІНПЛАН"/>
    </sheetNames>
    <sheetDataSet>
      <sheetData sheetId="0">
        <row r="5">
          <cell r="I5">
            <v>969585</v>
          </cell>
        </row>
      </sheetData>
      <sheetData sheetId="1">
        <row r="6">
          <cell r="I6">
            <v>283838</v>
          </cell>
        </row>
      </sheetData>
      <sheetData sheetId="2">
        <row r="8">
          <cell r="C8">
            <v>969585</v>
          </cell>
        </row>
        <row r="35">
          <cell r="C35">
            <v>2384825.9</v>
          </cell>
          <cell r="D35">
            <v>1962612.5</v>
          </cell>
          <cell r="E35">
            <v>695972.32</v>
          </cell>
          <cell r="F35">
            <v>2807039.28</v>
          </cell>
        </row>
        <row r="36">
          <cell r="C36">
            <v>43250</v>
          </cell>
          <cell r="D36">
            <v>43250</v>
          </cell>
          <cell r="E36">
            <v>43250</v>
          </cell>
          <cell r="F36">
            <v>43250</v>
          </cell>
        </row>
        <row r="40">
          <cell r="C40">
            <v>38139.06</v>
          </cell>
          <cell r="D40">
            <v>38521.4</v>
          </cell>
          <cell r="E40">
            <v>38752.879999999997</v>
          </cell>
          <cell r="F40">
            <v>39219.31</v>
          </cell>
        </row>
        <row r="46">
          <cell r="C46">
            <v>919970</v>
          </cell>
          <cell r="D46">
            <v>953081</v>
          </cell>
          <cell r="E46">
            <v>1033289</v>
          </cell>
          <cell r="F46">
            <v>1095368.6600000001</v>
          </cell>
        </row>
      </sheetData>
      <sheetData sheetId="3">
        <row r="30">
          <cell r="H30">
            <v>556720.32000000007</v>
          </cell>
        </row>
        <row r="31">
          <cell r="C31">
            <v>169179.83789999998</v>
          </cell>
        </row>
      </sheetData>
      <sheetData sheetId="4">
        <row r="5">
          <cell r="H5">
            <v>11834285.209999997</v>
          </cell>
        </row>
        <row r="6">
          <cell r="H6">
            <v>91103.37</v>
          </cell>
          <cell r="I6">
            <v>116470.72</v>
          </cell>
          <cell r="J6">
            <v>92958.670000000013</v>
          </cell>
          <cell r="K6">
            <v>93306.36</v>
          </cell>
        </row>
        <row r="11">
          <cell r="H11">
            <v>3643501.6999999997</v>
          </cell>
          <cell r="I11">
            <v>3611475.9699999997</v>
          </cell>
          <cell r="J11">
            <v>3695055.35</v>
          </cell>
          <cell r="K11">
            <v>3481151.7199999997</v>
          </cell>
        </row>
        <row r="16">
          <cell r="H16">
            <v>4688628.3199999994</v>
          </cell>
          <cell r="I16">
            <v>4604207.82</v>
          </cell>
          <cell r="J16">
            <v>4932106.04</v>
          </cell>
          <cell r="K16">
            <v>4580222.5699999994</v>
          </cell>
        </row>
        <row r="21">
          <cell r="H21">
            <v>1776103.7</v>
          </cell>
          <cell r="I21">
            <v>1914944.06</v>
          </cell>
          <cell r="J21">
            <v>1911834.49</v>
          </cell>
          <cell r="K21">
            <v>1717191.1199999999</v>
          </cell>
        </row>
        <row r="26">
          <cell r="H26">
            <v>248294.91</v>
          </cell>
          <cell r="I26">
            <v>257102.62</v>
          </cell>
          <cell r="J26">
            <v>223908.73</v>
          </cell>
          <cell r="K26">
            <v>224981.71999999997</v>
          </cell>
        </row>
        <row r="31">
          <cell r="H31">
            <v>1386653.21</v>
          </cell>
          <cell r="I31">
            <v>1414692.6199999999</v>
          </cell>
          <cell r="J31">
            <v>1287369.5799999998</v>
          </cell>
          <cell r="K31">
            <v>1375758.8300000003</v>
          </cell>
        </row>
        <row r="66">
          <cell r="H66">
            <v>919970</v>
          </cell>
          <cell r="I66">
            <v>953081</v>
          </cell>
          <cell r="J66">
            <v>1033289</v>
          </cell>
          <cell r="K66">
            <v>1095368.6600000001</v>
          </cell>
        </row>
        <row r="131">
          <cell r="H131">
            <v>2546068.3115500002</v>
          </cell>
          <cell r="I131">
            <v>2564430.0358500001</v>
          </cell>
          <cell r="J131">
            <v>2612379.4018999999</v>
          </cell>
          <cell r="K131">
            <v>2468203.0891999998</v>
          </cell>
        </row>
        <row r="135">
          <cell r="H135">
            <v>3470.26</v>
          </cell>
        </row>
        <row r="136">
          <cell r="H136">
            <v>2721885.5982999993</v>
          </cell>
          <cell r="I136">
            <v>2741345.5762999998</v>
          </cell>
          <cell r="J136">
            <v>2792943.5578000005</v>
          </cell>
          <cell r="K136">
            <v>2638700.8335999995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Інструкція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6_1"/>
      <sheetName val="37"/>
      <sheetName val="38"/>
      <sheetName val="39"/>
      <sheetName val="Ін_доходи"/>
      <sheetName val="Всього_Доходи"/>
      <sheetName val="Всього_Видатки"/>
      <sheetName val="Фін_план"/>
    </sheetNames>
    <sheetDataSet>
      <sheetData sheetId="0" refreshError="1">
        <row r="7">
          <cell r="C7" t="str">
            <v>Комунальне некомерційне підприємство "Жидачівська міська лікарня" Жидачівської міської ради Львівської області</v>
          </cell>
        </row>
        <row r="9">
          <cell r="C9" t="str">
            <v>01996208</v>
          </cell>
        </row>
        <row r="11">
          <cell r="C11" t="str">
            <v>комунальне підприємство</v>
          </cell>
        </row>
        <row r="13">
          <cell r="C13" t="str">
            <v>150</v>
          </cell>
        </row>
        <row r="17">
          <cell r="C17" t="str">
            <v>Жидачівська міська територіальна громада</v>
          </cell>
        </row>
        <row r="19">
          <cell r="C19"/>
        </row>
        <row r="21">
          <cell r="C21" t="str">
            <v>Жидачівська міська рада</v>
          </cell>
        </row>
        <row r="23">
          <cell r="C23"/>
        </row>
        <row r="25">
          <cell r="C25" t="str">
            <v>Лікувально-профілактичний заклад</v>
          </cell>
        </row>
        <row r="27">
          <cell r="C27" t="str">
            <v>86.10.</v>
          </cell>
        </row>
        <row r="29">
          <cell r="C29" t="str">
            <v>комунальна</v>
          </cell>
        </row>
        <row r="31">
          <cell r="C31" t="str">
            <v>Україна, Львівська область, Стрийський район,  м.Жидачів, вул. Ярослава Мудрого, 29, 81700</v>
          </cell>
        </row>
        <row r="37">
          <cell r="C37" t="str">
            <v>Яремцьо Л.В.</v>
          </cell>
        </row>
        <row r="43">
          <cell r="C43" t="str">
            <v>+380979760887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7">
          <cell r="D17">
            <v>0</v>
          </cell>
        </row>
      </sheetData>
      <sheetData sheetId="43" refreshError="1"/>
      <sheetData sheetId="44" refreshError="1">
        <row r="91">
          <cell r="C91">
            <v>0</v>
          </cell>
        </row>
        <row r="92">
          <cell r="C92">
            <v>0</v>
          </cell>
        </row>
        <row r="153">
          <cell r="C153">
            <v>0</v>
          </cell>
        </row>
        <row r="188">
          <cell r="I188"/>
          <cell r="J188"/>
          <cell r="K188"/>
          <cell r="L188"/>
        </row>
        <row r="190">
          <cell r="C190">
            <v>0</v>
          </cell>
        </row>
        <row r="197">
          <cell r="C197">
            <v>0</v>
          </cell>
          <cell r="I197"/>
          <cell r="J197"/>
          <cell r="K197"/>
          <cell r="L197"/>
        </row>
        <row r="198">
          <cell r="C198">
            <v>0</v>
          </cell>
          <cell r="I198"/>
          <cell r="J198"/>
          <cell r="K198"/>
          <cell r="L198"/>
        </row>
        <row r="199">
          <cell r="C199">
            <v>0</v>
          </cell>
          <cell r="I199"/>
          <cell r="J199"/>
          <cell r="K199"/>
          <cell r="L199"/>
        </row>
        <row r="201">
          <cell r="C201">
            <v>0</v>
          </cell>
        </row>
      </sheetData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куш1"/>
    </sheetNames>
    <sheetDataSet>
      <sheetData sheetId="0">
        <row r="36">
          <cell r="E36">
            <v>63013.684589999997</v>
          </cell>
        </row>
        <row r="37">
          <cell r="E37">
            <v>1686.6840000000002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71"/>
  <sheetViews>
    <sheetView topLeftCell="A5" workbookViewId="0">
      <selection activeCell="I17" sqref="I17"/>
    </sheetView>
  </sheetViews>
  <sheetFormatPr defaultRowHeight="15" x14ac:dyDescent="0.25"/>
  <cols>
    <col min="1" max="1" width="8" style="1" customWidth="1"/>
    <col min="2" max="2" width="29.28515625" style="1" customWidth="1"/>
    <col min="3" max="3" width="15.140625" style="1" customWidth="1"/>
    <col min="4" max="4" width="14.7109375" style="1" customWidth="1"/>
    <col min="5" max="5" width="16.42578125" style="1" customWidth="1"/>
    <col min="6" max="6" width="15.140625" style="1" customWidth="1"/>
    <col min="7" max="7" width="14.42578125" style="1" customWidth="1"/>
    <col min="8" max="8" width="14.5703125" style="1" customWidth="1"/>
    <col min="9" max="9" width="13.42578125" style="1" customWidth="1"/>
    <col min="10" max="10" width="14" style="1" customWidth="1"/>
    <col min="11" max="11" width="13" style="1" customWidth="1"/>
    <col min="12" max="12" width="13.140625" style="1" customWidth="1"/>
    <col min="13" max="16384" width="9.140625" style="1"/>
  </cols>
  <sheetData>
    <row r="2" spans="1:12" ht="39" customHeight="1" x14ac:dyDescent="0.3">
      <c r="A2" s="226" t="s">
        <v>0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30" x14ac:dyDescent="0.25">
      <c r="A4" s="2" t="s">
        <v>1</v>
      </c>
      <c r="B4" s="3" t="s">
        <v>2</v>
      </c>
      <c r="C4" s="4" t="s">
        <v>7</v>
      </c>
      <c r="D4" s="5" t="s">
        <v>3</v>
      </c>
      <c r="E4" s="5" t="s">
        <v>4</v>
      </c>
      <c r="F4" s="5" t="s">
        <v>5</v>
      </c>
      <c r="G4" s="5" t="s">
        <v>6</v>
      </c>
    </row>
    <row r="5" spans="1:12" ht="45" x14ac:dyDescent="0.25">
      <c r="A5" s="2">
        <v>3</v>
      </c>
      <c r="B5" s="3" t="s">
        <v>8</v>
      </c>
      <c r="C5" s="6">
        <f>SUM(D5:G5)</f>
        <v>3352470.87</v>
      </c>
      <c r="D5" s="7">
        <f>F24</f>
        <v>959914.75</v>
      </c>
      <c r="E5" s="7">
        <f>F29</f>
        <v>826972.23</v>
      </c>
      <c r="F5" s="7">
        <f>F33</f>
        <v>826972.23</v>
      </c>
      <c r="G5" s="7">
        <f>F37</f>
        <v>738611.65999999992</v>
      </c>
    </row>
    <row r="6" spans="1:12" ht="60" x14ac:dyDescent="0.25">
      <c r="A6" s="2">
        <v>4</v>
      </c>
      <c r="B6" s="3" t="s">
        <v>9</v>
      </c>
      <c r="C6" s="6">
        <f t="shared" ref="C6:C16" si="0">SUM(D6:G6)</f>
        <v>30413681.029999997</v>
      </c>
      <c r="D6" s="7">
        <f>F48</f>
        <v>6440859.9299999997</v>
      </c>
      <c r="E6" s="7">
        <f>F53</f>
        <v>7599451.1999999993</v>
      </c>
      <c r="F6" s="7">
        <f>F57</f>
        <v>7599451.1999999993</v>
      </c>
      <c r="G6" s="7">
        <f>F61</f>
        <v>8773918.6999999993</v>
      </c>
    </row>
    <row r="7" spans="1:12" ht="43.5" customHeight="1" x14ac:dyDescent="0.25">
      <c r="A7" s="2">
        <v>9</v>
      </c>
      <c r="B7" s="3" t="s">
        <v>10</v>
      </c>
      <c r="C7" s="6">
        <f t="shared" si="0"/>
        <v>17696298.48</v>
      </c>
      <c r="D7" s="7">
        <f>$D$74*3</f>
        <v>4424074.62</v>
      </c>
      <c r="E7" s="7">
        <f t="shared" ref="E7:G7" si="1">$D$74*3</f>
        <v>4424074.62</v>
      </c>
      <c r="F7" s="7">
        <f t="shared" si="1"/>
        <v>4424074.62</v>
      </c>
      <c r="G7" s="7">
        <f t="shared" si="1"/>
        <v>4424074.62</v>
      </c>
    </row>
    <row r="8" spans="1:12" x14ac:dyDescent="0.25">
      <c r="A8" s="2">
        <v>12</v>
      </c>
      <c r="B8" s="3" t="s">
        <v>11</v>
      </c>
      <c r="C8" s="6">
        <f t="shared" si="0"/>
        <v>48215.56</v>
      </c>
      <c r="D8" s="7">
        <f>H79</f>
        <v>22659.4</v>
      </c>
      <c r="E8" s="7">
        <f>H84</f>
        <v>10952.64</v>
      </c>
      <c r="F8" s="7">
        <f>H88</f>
        <v>10952.64</v>
      </c>
      <c r="G8" s="7">
        <f>H92</f>
        <v>3650.88</v>
      </c>
    </row>
    <row r="9" spans="1:12" x14ac:dyDescent="0.25">
      <c r="A9" s="2">
        <v>13</v>
      </c>
      <c r="B9" s="3" t="s">
        <v>12</v>
      </c>
      <c r="C9" s="6">
        <f t="shared" si="0"/>
        <v>111470.64000000001</v>
      </c>
      <c r="D9" s="7">
        <f>H102</f>
        <v>53282.8</v>
      </c>
      <c r="E9" s="7">
        <f>H107</f>
        <v>24149.16</v>
      </c>
      <c r="F9" s="7">
        <f>H111</f>
        <v>24149.16</v>
      </c>
      <c r="G9" s="7">
        <f>H115</f>
        <v>9889.52</v>
      </c>
    </row>
    <row r="10" spans="1:12" ht="45" x14ac:dyDescent="0.25">
      <c r="A10" s="2">
        <v>21</v>
      </c>
      <c r="B10" s="3" t="s">
        <v>13</v>
      </c>
      <c r="C10" s="6">
        <f t="shared" si="0"/>
        <v>329669.64</v>
      </c>
      <c r="D10" s="7">
        <f>D124</f>
        <v>70229.52</v>
      </c>
      <c r="E10" s="7">
        <f>D129</f>
        <v>77729.760000000009</v>
      </c>
      <c r="F10" s="7">
        <f>D133</f>
        <v>77729.760000000009</v>
      </c>
      <c r="G10" s="7">
        <f>D137</f>
        <v>103980.6</v>
      </c>
    </row>
    <row r="11" spans="1:12" ht="30" x14ac:dyDescent="0.25">
      <c r="A11" s="2">
        <v>24</v>
      </c>
      <c r="B11" s="3" t="s">
        <v>14</v>
      </c>
      <c r="C11" s="6">
        <f t="shared" si="0"/>
        <v>1313861.08</v>
      </c>
      <c r="D11" s="7">
        <f>D145</f>
        <v>78817.66</v>
      </c>
      <c r="E11" s="7">
        <f>D150</f>
        <v>389683.68</v>
      </c>
      <c r="F11" s="7">
        <f>D154</f>
        <v>389683.68</v>
      </c>
      <c r="G11" s="7">
        <f>D158</f>
        <v>455676.06</v>
      </c>
    </row>
    <row r="12" spans="1:12" ht="30" x14ac:dyDescent="0.25">
      <c r="A12" s="2">
        <v>35</v>
      </c>
      <c r="B12" s="3" t="s">
        <v>15</v>
      </c>
      <c r="C12" s="6">
        <f t="shared" si="0"/>
        <v>481947.12</v>
      </c>
      <c r="D12" s="7">
        <f>D166</f>
        <v>104000.92</v>
      </c>
      <c r="E12" s="7">
        <f>D171</f>
        <v>121010.79000000001</v>
      </c>
      <c r="F12" s="7">
        <f>D175</f>
        <v>121010.79000000001</v>
      </c>
      <c r="G12" s="7">
        <f>D179</f>
        <v>135924.62</v>
      </c>
    </row>
    <row r="13" spans="1:12" ht="45" x14ac:dyDescent="0.25">
      <c r="A13" s="2">
        <v>47</v>
      </c>
      <c r="B13" s="3" t="s">
        <v>16</v>
      </c>
      <c r="C13" s="6">
        <f t="shared" si="0"/>
        <v>3965272.8600000003</v>
      </c>
      <c r="D13" s="7">
        <f>F189</f>
        <v>715933.31</v>
      </c>
      <c r="E13" s="7">
        <f>F194</f>
        <v>1082856.33</v>
      </c>
      <c r="F13" s="7">
        <f>F198</f>
        <v>1082856.33</v>
      </c>
      <c r="G13" s="7">
        <f>F202</f>
        <v>1083626.8899999999</v>
      </c>
    </row>
    <row r="14" spans="1:12" ht="75" x14ac:dyDescent="0.25">
      <c r="A14" s="2">
        <v>50</v>
      </c>
      <c r="B14" s="3" t="s">
        <v>17</v>
      </c>
      <c r="C14" s="6">
        <f t="shared" si="0"/>
        <v>380639.98</v>
      </c>
      <c r="D14" s="7">
        <f>D211</f>
        <v>87839.98</v>
      </c>
      <c r="E14" s="7">
        <f>D216</f>
        <v>87840</v>
      </c>
      <c r="F14" s="7">
        <f>D220</f>
        <v>87840</v>
      </c>
      <c r="G14" s="7">
        <f>D224</f>
        <v>117120</v>
      </c>
    </row>
    <row r="15" spans="1:12" ht="75" x14ac:dyDescent="0.25">
      <c r="A15" s="2">
        <v>60</v>
      </c>
      <c r="B15" s="3" t="s">
        <v>18</v>
      </c>
      <c r="C15" s="6">
        <f t="shared" si="0"/>
        <v>3232221</v>
      </c>
      <c r="D15" s="7">
        <f>D233</f>
        <v>318321</v>
      </c>
      <c r="E15" s="7">
        <f>D238</f>
        <v>969534</v>
      </c>
      <c r="F15" s="7">
        <f>D242</f>
        <v>969534</v>
      </c>
      <c r="G15" s="7">
        <f>D246</f>
        <v>974832</v>
      </c>
    </row>
    <row r="16" spans="1:12" ht="45" x14ac:dyDescent="0.25">
      <c r="A16" s="2"/>
      <c r="B16" s="3" t="s">
        <v>19</v>
      </c>
      <c r="C16" s="6">
        <f t="shared" si="0"/>
        <v>2726640</v>
      </c>
      <c r="D16" s="7">
        <f>D255</f>
        <v>0</v>
      </c>
      <c r="E16" s="7">
        <f>D259</f>
        <v>908880</v>
      </c>
      <c r="F16" s="7">
        <f>D263</f>
        <v>908880</v>
      </c>
      <c r="G16" s="7">
        <f>D267</f>
        <v>908880</v>
      </c>
    </row>
    <row r="17" spans="1:8" x14ac:dyDescent="0.25">
      <c r="A17" s="2"/>
      <c r="B17" s="3" t="s">
        <v>20</v>
      </c>
      <c r="C17" s="8">
        <f>SUM(C5:C16)</f>
        <v>64052388.25999999</v>
      </c>
      <c r="D17" s="9">
        <f>SUM(D5:D16)</f>
        <v>13275933.890000002</v>
      </c>
      <c r="E17" s="9">
        <f t="shared" ref="E17:G17" si="2">SUM(E5:E16)</f>
        <v>16523134.41</v>
      </c>
      <c r="F17" s="9">
        <f t="shared" si="2"/>
        <v>16523134.41</v>
      </c>
      <c r="G17" s="9">
        <f t="shared" si="2"/>
        <v>17730185.550000001</v>
      </c>
    </row>
    <row r="21" spans="1:8" ht="60" customHeight="1" x14ac:dyDescent="0.25">
      <c r="B21" s="220" t="s">
        <v>21</v>
      </c>
      <c r="C21" s="220"/>
      <c r="D21" s="220"/>
      <c r="E21" s="220"/>
      <c r="F21" s="220"/>
      <c r="G21" s="220"/>
    </row>
    <row r="22" spans="1:8" ht="45" customHeight="1" x14ac:dyDescent="0.25">
      <c r="B22" s="214" t="s">
        <v>22</v>
      </c>
      <c r="C22" s="215" t="s">
        <v>23</v>
      </c>
      <c r="D22" s="217" t="s">
        <v>24</v>
      </c>
      <c r="E22" s="218"/>
      <c r="F22" s="219"/>
      <c r="G22" s="215" t="s">
        <v>25</v>
      </c>
      <c r="H22" s="213" t="s">
        <v>26</v>
      </c>
    </row>
    <row r="23" spans="1:8" ht="47.25" x14ac:dyDescent="0.25">
      <c r="B23" s="214"/>
      <c r="C23" s="216"/>
      <c r="D23" s="10" t="s">
        <v>27</v>
      </c>
      <c r="E23" s="10" t="s">
        <v>28</v>
      </c>
      <c r="F23" s="10" t="s">
        <v>29</v>
      </c>
      <c r="G23" s="216"/>
      <c r="H23" s="213"/>
    </row>
    <row r="24" spans="1:8" s="11" customFormat="1" ht="15.75" x14ac:dyDescent="0.25">
      <c r="B24" s="12" t="s">
        <v>30</v>
      </c>
      <c r="C24" s="13">
        <f>SUM(C26:C28)</f>
        <v>116</v>
      </c>
      <c r="D24" s="14">
        <f t="shared" ref="D24" si="3">SUM(D26:D28)</f>
        <v>372137.49</v>
      </c>
      <c r="E24" s="14">
        <f>SUM(E25:E28)</f>
        <v>587777.26</v>
      </c>
      <c r="F24" s="14">
        <f>SUM(F25:F28)</f>
        <v>959914.75</v>
      </c>
      <c r="G24" s="15">
        <f>F24/$F$41</f>
        <v>0.28633052671386822</v>
      </c>
    </row>
    <row r="25" spans="1:8" s="11" customFormat="1" ht="15.75" x14ac:dyDescent="0.25">
      <c r="B25" s="138">
        <v>45627</v>
      </c>
      <c r="C25" s="13"/>
      <c r="D25" s="14"/>
      <c r="E25" s="17">
        <v>44581.95</v>
      </c>
      <c r="F25" s="17">
        <f>SUM(D25:E25)</f>
        <v>44581.95</v>
      </c>
      <c r="G25" s="15"/>
    </row>
    <row r="26" spans="1:8" ht="15.75" x14ac:dyDescent="0.25">
      <c r="B26" s="10" t="s">
        <v>31</v>
      </c>
      <c r="C26" s="16">
        <v>42</v>
      </c>
      <c r="D26" s="17"/>
      <c r="E26" s="17">
        <v>0</v>
      </c>
      <c r="F26" s="17">
        <f>SUM(D26:E26)</f>
        <v>0</v>
      </c>
      <c r="G26" s="18"/>
      <c r="H26" s="19" t="s">
        <v>40</v>
      </c>
    </row>
    <row r="27" spans="1:8" ht="15.75" x14ac:dyDescent="0.25">
      <c r="B27" s="10" t="s">
        <v>32</v>
      </c>
      <c r="C27" s="16">
        <v>37</v>
      </c>
      <c r="D27" s="17">
        <v>248091.66</v>
      </c>
      <c r="E27" s="17">
        <v>277825.89</v>
      </c>
      <c r="F27" s="17">
        <f t="shared" ref="F27:F28" si="4">SUM(D27:E27)</f>
        <v>525917.55000000005</v>
      </c>
      <c r="G27" s="18"/>
      <c r="H27" s="19" t="s">
        <v>40</v>
      </c>
    </row>
    <row r="28" spans="1:8" ht="15.75" x14ac:dyDescent="0.25">
      <c r="B28" s="10" t="s">
        <v>33</v>
      </c>
      <c r="C28" s="16">
        <v>37</v>
      </c>
      <c r="D28" s="17">
        <v>124045.83</v>
      </c>
      <c r="E28" s="17">
        <v>265369.42</v>
      </c>
      <c r="F28" s="17">
        <f t="shared" si="4"/>
        <v>389415.25</v>
      </c>
      <c r="G28" s="18"/>
      <c r="H28" s="19" t="s">
        <v>40</v>
      </c>
    </row>
    <row r="29" spans="1:8" s="11" customFormat="1" ht="15.75" x14ac:dyDescent="0.25">
      <c r="B29" s="12" t="s">
        <v>34</v>
      </c>
      <c r="C29" s="13">
        <f>SUM(C30:C32)</f>
        <v>111</v>
      </c>
      <c r="D29" s="14">
        <f t="shared" ref="D29:F29" si="5">SUM(D30:D32)</f>
        <v>372137.49</v>
      </c>
      <c r="E29" s="14">
        <f t="shared" si="5"/>
        <v>454834.74</v>
      </c>
      <c r="F29" s="14">
        <f t="shared" si="5"/>
        <v>826972.23</v>
      </c>
      <c r="G29" s="15">
        <f>F29/$F$41</f>
        <v>0.24667544091143734</v>
      </c>
    </row>
    <row r="30" spans="1:8" ht="15.75" x14ac:dyDescent="0.25">
      <c r="B30" s="10" t="s">
        <v>35</v>
      </c>
      <c r="C30" s="16">
        <v>37</v>
      </c>
      <c r="D30" s="17">
        <v>124045.83</v>
      </c>
      <c r="E30" s="17">
        <v>151611.57999999999</v>
      </c>
      <c r="F30" s="17">
        <f>SUM(D30:E30)</f>
        <v>275657.40999999997</v>
      </c>
      <c r="G30" s="18"/>
      <c r="H30" s="19" t="s">
        <v>40</v>
      </c>
    </row>
    <row r="31" spans="1:8" ht="15.75" x14ac:dyDescent="0.25">
      <c r="B31" s="10" t="s">
        <v>36</v>
      </c>
      <c r="C31" s="16">
        <v>37</v>
      </c>
      <c r="D31" s="17">
        <v>124045.83</v>
      </c>
      <c r="E31" s="17">
        <v>151611.57999999999</v>
      </c>
      <c r="F31" s="17">
        <f t="shared" ref="F31:F32" si="6">SUM(D31:E31)</f>
        <v>275657.40999999997</v>
      </c>
      <c r="G31" s="18"/>
      <c r="H31" s="19" t="s">
        <v>40</v>
      </c>
    </row>
    <row r="32" spans="1:8" ht="15.75" x14ac:dyDescent="0.25">
      <c r="B32" s="10" t="s">
        <v>37</v>
      </c>
      <c r="C32" s="16">
        <v>37</v>
      </c>
      <c r="D32" s="17">
        <v>124045.83</v>
      </c>
      <c r="E32" s="17">
        <v>151611.57999999999</v>
      </c>
      <c r="F32" s="17">
        <f t="shared" si="6"/>
        <v>275657.40999999997</v>
      </c>
      <c r="G32" s="18"/>
      <c r="H32" s="19" t="s">
        <v>40</v>
      </c>
    </row>
    <row r="33" spans="2:8" s="11" customFormat="1" ht="15.75" x14ac:dyDescent="0.25">
      <c r="B33" s="12" t="s">
        <v>38</v>
      </c>
      <c r="C33" s="13">
        <f>SUM(C34:C36)</f>
        <v>111</v>
      </c>
      <c r="D33" s="14">
        <f t="shared" ref="D33:F33" si="7">SUM(D34:D36)</f>
        <v>372137.49</v>
      </c>
      <c r="E33" s="14">
        <f t="shared" si="7"/>
        <v>454834.74</v>
      </c>
      <c r="F33" s="14">
        <f t="shared" si="7"/>
        <v>826972.23</v>
      </c>
      <c r="G33" s="15">
        <f>F33/$F$41</f>
        <v>0.24667544091143734</v>
      </c>
    </row>
    <row r="34" spans="2:8" ht="15.75" x14ac:dyDescent="0.25">
      <c r="B34" s="10" t="s">
        <v>39</v>
      </c>
      <c r="C34" s="16">
        <v>37</v>
      </c>
      <c r="D34" s="17">
        <v>124045.83</v>
      </c>
      <c r="E34" s="17">
        <v>151611.57999999999</v>
      </c>
      <c r="F34" s="17">
        <f>SUM(D34:E34)</f>
        <v>275657.40999999997</v>
      </c>
      <c r="G34" s="18"/>
      <c r="H34" s="19" t="s">
        <v>40</v>
      </c>
    </row>
    <row r="35" spans="2:8" ht="15.75" x14ac:dyDescent="0.25">
      <c r="B35" s="10" t="s">
        <v>41</v>
      </c>
      <c r="C35" s="16">
        <v>37</v>
      </c>
      <c r="D35" s="17">
        <v>124045.83</v>
      </c>
      <c r="E35" s="17">
        <v>151611.57999999999</v>
      </c>
      <c r="F35" s="17">
        <f>SUM(D35:E35)</f>
        <v>275657.40999999997</v>
      </c>
      <c r="G35" s="18"/>
      <c r="H35" s="19" t="s">
        <v>40</v>
      </c>
    </row>
    <row r="36" spans="2:8" ht="15.75" x14ac:dyDescent="0.25">
      <c r="B36" s="10" t="s">
        <v>42</v>
      </c>
      <c r="C36" s="16">
        <v>37</v>
      </c>
      <c r="D36" s="17">
        <v>124045.83</v>
      </c>
      <c r="E36" s="17">
        <v>151611.57999999999</v>
      </c>
      <c r="F36" s="17">
        <f>SUM(D36:E36)</f>
        <v>275657.40999999997</v>
      </c>
      <c r="G36" s="18"/>
      <c r="H36" s="19" t="s">
        <v>40</v>
      </c>
    </row>
    <row r="37" spans="2:8" s="11" customFormat="1" ht="15.75" x14ac:dyDescent="0.25">
      <c r="B37" s="12" t="s">
        <v>43</v>
      </c>
      <c r="C37" s="13">
        <f>SUM(C38:C40)</f>
        <v>111</v>
      </c>
      <c r="D37" s="14">
        <f t="shared" ref="D37:F37" si="8">SUM(D38:D40)</f>
        <v>372137.49</v>
      </c>
      <c r="E37" s="14">
        <f t="shared" si="8"/>
        <v>366474.17</v>
      </c>
      <c r="F37" s="14">
        <f t="shared" si="8"/>
        <v>738611.65999999992</v>
      </c>
      <c r="G37" s="15">
        <f>F37/$F$41</f>
        <v>0.22031859146325702</v>
      </c>
    </row>
    <row r="38" spans="2:8" ht="15.75" x14ac:dyDescent="0.25">
      <c r="B38" s="10" t="s">
        <v>44</v>
      </c>
      <c r="C38" s="16">
        <v>37</v>
      </c>
      <c r="D38" s="17">
        <v>124045.83</v>
      </c>
      <c r="E38" s="17">
        <v>151611.57999999999</v>
      </c>
      <c r="F38" s="17">
        <f>SUM(D38:E38)</f>
        <v>275657.40999999997</v>
      </c>
      <c r="G38" s="18"/>
      <c r="H38" s="19" t="s">
        <v>40</v>
      </c>
    </row>
    <row r="39" spans="2:8" ht="15.75" x14ac:dyDescent="0.25">
      <c r="B39" s="10" t="s">
        <v>45</v>
      </c>
      <c r="C39" s="16">
        <v>37</v>
      </c>
      <c r="D39" s="17">
        <v>124045.83</v>
      </c>
      <c r="E39" s="17">
        <v>151611.57999999999</v>
      </c>
      <c r="F39" s="17">
        <f t="shared" ref="F39:F40" si="9">SUM(D39:E39)</f>
        <v>275657.40999999997</v>
      </c>
      <c r="G39" s="18"/>
      <c r="H39" s="19" t="s">
        <v>40</v>
      </c>
    </row>
    <row r="40" spans="2:8" ht="15.75" x14ac:dyDescent="0.25">
      <c r="B40" s="10" t="s">
        <v>46</v>
      </c>
      <c r="C40" s="16">
        <v>37</v>
      </c>
      <c r="D40" s="17">
        <v>124045.83</v>
      </c>
      <c r="E40" s="17">
        <v>63251.01</v>
      </c>
      <c r="F40" s="17">
        <f t="shared" si="9"/>
        <v>187296.84</v>
      </c>
      <c r="G40" s="18"/>
      <c r="H40" s="19" t="s">
        <v>40</v>
      </c>
    </row>
    <row r="41" spans="2:8" s="11" customFormat="1" ht="15.75" x14ac:dyDescent="0.25">
      <c r="B41" s="12" t="s">
        <v>7</v>
      </c>
      <c r="C41" s="13">
        <f>C24+C29+C33+C37</f>
        <v>449</v>
      </c>
      <c r="D41" s="14">
        <f t="shared" ref="D41:F41" si="10">D24+D29+D33+D37</f>
        <v>1488549.96</v>
      </c>
      <c r="E41" s="14">
        <f t="shared" si="10"/>
        <v>1863920.91</v>
      </c>
      <c r="F41" s="14">
        <f t="shared" si="10"/>
        <v>3352470.87</v>
      </c>
      <c r="G41" s="15">
        <f>F41/$F$41</f>
        <v>1</v>
      </c>
    </row>
    <row r="42" spans="2:8" ht="15.75" x14ac:dyDescent="0.25">
      <c r="B42" s="20"/>
      <c r="C42" s="20"/>
      <c r="D42" s="20"/>
      <c r="E42" s="20"/>
      <c r="F42" s="20"/>
      <c r="G42" s="20"/>
    </row>
    <row r="45" spans="2:8" ht="52.5" customHeight="1" x14ac:dyDescent="0.25">
      <c r="B45" s="220" t="s">
        <v>47</v>
      </c>
      <c r="C45" s="220"/>
      <c r="D45" s="220"/>
      <c r="E45" s="220"/>
      <c r="F45" s="220"/>
      <c r="G45" s="220"/>
    </row>
    <row r="46" spans="2:8" ht="15.75" x14ac:dyDescent="0.25">
      <c r="B46" s="214" t="s">
        <v>22</v>
      </c>
      <c r="C46" s="215" t="s">
        <v>23</v>
      </c>
      <c r="D46" s="217" t="s">
        <v>24</v>
      </c>
      <c r="E46" s="218"/>
      <c r="F46" s="219"/>
      <c r="G46" s="215" t="s">
        <v>25</v>
      </c>
      <c r="H46" s="213" t="s">
        <v>26</v>
      </c>
    </row>
    <row r="47" spans="2:8" ht="47.25" x14ac:dyDescent="0.25">
      <c r="B47" s="214"/>
      <c r="C47" s="216"/>
      <c r="D47" s="10" t="s">
        <v>27</v>
      </c>
      <c r="E47" s="10" t="s">
        <v>28</v>
      </c>
      <c r="F47" s="10" t="s">
        <v>29</v>
      </c>
      <c r="G47" s="216"/>
      <c r="H47" s="213"/>
    </row>
    <row r="48" spans="2:8" ht="15.75" x14ac:dyDescent="0.25">
      <c r="B48" s="12" t="s">
        <v>30</v>
      </c>
      <c r="C48" s="13">
        <f>SUM(C50:C52)</f>
        <v>1318</v>
      </c>
      <c r="D48" s="14">
        <f t="shared" ref="D48" si="11">SUM(D50:D52)</f>
        <v>3419753.04</v>
      </c>
      <c r="E48" s="14">
        <f>SUM(E49:E52)</f>
        <v>3021106.8899999997</v>
      </c>
      <c r="F48" s="14">
        <f>SUM(F49:F52)</f>
        <v>6440859.9299999997</v>
      </c>
      <c r="G48" s="15">
        <f>F48/$F$65</f>
        <v>0.21177508647002471</v>
      </c>
      <c r="H48" s="11"/>
    </row>
    <row r="49" spans="2:8" ht="15.75" x14ac:dyDescent="0.25">
      <c r="B49" s="138">
        <v>45627</v>
      </c>
      <c r="C49" s="13"/>
      <c r="D49" s="14"/>
      <c r="E49" s="17">
        <v>15876.13</v>
      </c>
      <c r="F49" s="17">
        <f>SUM(D49:E49)</f>
        <v>15876.13</v>
      </c>
      <c r="G49" s="15"/>
      <c r="H49" s="11"/>
    </row>
    <row r="50" spans="2:8" ht="15.75" x14ac:dyDescent="0.25">
      <c r="B50" s="10" t="s">
        <v>31</v>
      </c>
      <c r="C50" s="16">
        <v>438</v>
      </c>
      <c r="D50" s="17">
        <v>0</v>
      </c>
      <c r="E50" s="17">
        <v>0</v>
      </c>
      <c r="F50" s="17">
        <f>SUM(D50:E50)</f>
        <v>0</v>
      </c>
      <c r="G50" s="18"/>
      <c r="H50" s="19" t="s">
        <v>40</v>
      </c>
    </row>
    <row r="51" spans="2:8" ht="15.75" x14ac:dyDescent="0.25">
      <c r="B51" s="10" t="s">
        <v>32</v>
      </c>
      <c r="C51" s="16">
        <v>440</v>
      </c>
      <c r="D51" s="17">
        <v>2279835.36</v>
      </c>
      <c r="E51" s="17">
        <v>1423555.61</v>
      </c>
      <c r="F51" s="17">
        <f t="shared" ref="F51:F52" si="12">SUM(D51:E51)</f>
        <v>3703390.9699999997</v>
      </c>
      <c r="G51" s="18"/>
      <c r="H51" s="19" t="s">
        <v>40</v>
      </c>
    </row>
    <row r="52" spans="2:8" ht="15.75" x14ac:dyDescent="0.25">
      <c r="B52" s="10" t="s">
        <v>33</v>
      </c>
      <c r="C52" s="16">
        <v>440</v>
      </c>
      <c r="D52" s="17">
        <v>1139917.68</v>
      </c>
      <c r="E52" s="17">
        <v>1581675.15</v>
      </c>
      <c r="F52" s="17">
        <f t="shared" si="12"/>
        <v>2721592.83</v>
      </c>
      <c r="G52" s="18"/>
      <c r="H52" s="19" t="s">
        <v>40</v>
      </c>
    </row>
    <row r="53" spans="2:8" ht="15.75" x14ac:dyDescent="0.25">
      <c r="B53" s="12" t="s">
        <v>34</v>
      </c>
      <c r="C53" s="13">
        <f>SUM(C54:C56)</f>
        <v>1320</v>
      </c>
      <c r="D53" s="14">
        <f t="shared" ref="D53:F53" si="13">SUM(D54:D56)</f>
        <v>3419753.04</v>
      </c>
      <c r="E53" s="14">
        <f t="shared" si="13"/>
        <v>4179698.16</v>
      </c>
      <c r="F53" s="14">
        <f t="shared" si="13"/>
        <v>7599451.1999999993</v>
      </c>
      <c r="G53" s="15">
        <f>F53/$F$65</f>
        <v>0.2498694976285151</v>
      </c>
      <c r="H53" s="11"/>
    </row>
    <row r="54" spans="2:8" ht="15.75" x14ac:dyDescent="0.25">
      <c r="B54" s="10" t="s">
        <v>35</v>
      </c>
      <c r="C54" s="16">
        <v>440</v>
      </c>
      <c r="D54" s="17">
        <v>1139917.68</v>
      </c>
      <c r="E54" s="17">
        <v>1393232.72</v>
      </c>
      <c r="F54" s="17">
        <f>SUM(D54:E54)</f>
        <v>2533150.4</v>
      </c>
      <c r="G54" s="18"/>
      <c r="H54" s="19" t="s">
        <v>40</v>
      </c>
    </row>
    <row r="55" spans="2:8" ht="15.75" x14ac:dyDescent="0.25">
      <c r="B55" s="10" t="s">
        <v>36</v>
      </c>
      <c r="C55" s="16">
        <v>440</v>
      </c>
      <c r="D55" s="17">
        <v>1139917.68</v>
      </c>
      <c r="E55" s="17">
        <v>1393232.72</v>
      </c>
      <c r="F55" s="17">
        <f t="shared" ref="F55:F56" si="14">SUM(D55:E55)</f>
        <v>2533150.4</v>
      </c>
      <c r="G55" s="18"/>
      <c r="H55" s="19" t="s">
        <v>40</v>
      </c>
    </row>
    <row r="56" spans="2:8" ht="15.75" x14ac:dyDescent="0.25">
      <c r="B56" s="10" t="s">
        <v>37</v>
      </c>
      <c r="C56" s="16">
        <v>440</v>
      </c>
      <c r="D56" s="17">
        <v>1139917.68</v>
      </c>
      <c r="E56" s="17">
        <v>1393232.72</v>
      </c>
      <c r="F56" s="17">
        <f t="shared" si="14"/>
        <v>2533150.4</v>
      </c>
      <c r="G56" s="18"/>
      <c r="H56" s="19" t="s">
        <v>40</v>
      </c>
    </row>
    <row r="57" spans="2:8" ht="15.75" x14ac:dyDescent="0.25">
      <c r="B57" s="12" t="s">
        <v>38</v>
      </c>
      <c r="C57" s="13">
        <f>SUM(C58:C60)</f>
        <v>1320</v>
      </c>
      <c r="D57" s="14">
        <f t="shared" ref="D57:F57" si="15">SUM(D58:D60)</f>
        <v>3419753.04</v>
      </c>
      <c r="E57" s="14">
        <f t="shared" si="15"/>
        <v>4179698.16</v>
      </c>
      <c r="F57" s="14">
        <f t="shared" si="15"/>
        <v>7599451.1999999993</v>
      </c>
      <c r="G57" s="15">
        <f>F57/$F$65</f>
        <v>0.2498694976285151</v>
      </c>
      <c r="H57" s="11"/>
    </row>
    <row r="58" spans="2:8" ht="15.75" x14ac:dyDescent="0.25">
      <c r="B58" s="10" t="s">
        <v>39</v>
      </c>
      <c r="C58" s="16">
        <v>440</v>
      </c>
      <c r="D58" s="17">
        <v>1139917.68</v>
      </c>
      <c r="E58" s="17">
        <v>1393232.72</v>
      </c>
      <c r="F58" s="17">
        <f>SUM(D58:E58)</f>
        <v>2533150.4</v>
      </c>
      <c r="G58" s="18"/>
      <c r="H58" s="19" t="s">
        <v>40</v>
      </c>
    </row>
    <row r="59" spans="2:8" ht="15.75" x14ac:dyDescent="0.25">
      <c r="B59" s="10" t="s">
        <v>41</v>
      </c>
      <c r="C59" s="16">
        <v>440</v>
      </c>
      <c r="D59" s="17">
        <v>1139917.68</v>
      </c>
      <c r="E59" s="17">
        <v>1393232.72</v>
      </c>
      <c r="F59" s="17">
        <f>SUM(D59:E59)</f>
        <v>2533150.4</v>
      </c>
      <c r="G59" s="18"/>
      <c r="H59" s="19" t="s">
        <v>40</v>
      </c>
    </row>
    <row r="60" spans="2:8" ht="15.75" x14ac:dyDescent="0.25">
      <c r="B60" s="10" t="s">
        <v>42</v>
      </c>
      <c r="C60" s="16">
        <v>440</v>
      </c>
      <c r="D60" s="17">
        <v>1139917.68</v>
      </c>
      <c r="E60" s="17">
        <v>1393232.72</v>
      </c>
      <c r="F60" s="17">
        <f>SUM(D60:E60)</f>
        <v>2533150.4</v>
      </c>
      <c r="G60" s="18"/>
      <c r="H60" s="19" t="s">
        <v>40</v>
      </c>
    </row>
    <row r="61" spans="2:8" ht="15.75" x14ac:dyDescent="0.25">
      <c r="B61" s="12" t="s">
        <v>43</v>
      </c>
      <c r="C61" s="13">
        <f>SUM(C62:C64)</f>
        <v>1320</v>
      </c>
      <c r="D61" s="14">
        <f t="shared" ref="D61:F61" si="16">SUM(D62:D64)</f>
        <v>3419753.04</v>
      </c>
      <c r="E61" s="14">
        <f t="shared" si="16"/>
        <v>5354165.66</v>
      </c>
      <c r="F61" s="14">
        <f t="shared" si="16"/>
        <v>8773918.6999999993</v>
      </c>
      <c r="G61" s="15">
        <f>F61/$F$65</f>
        <v>0.28848591827294506</v>
      </c>
      <c r="H61" s="11"/>
    </row>
    <row r="62" spans="2:8" ht="15.75" x14ac:dyDescent="0.25">
      <c r="B62" s="10" t="s">
        <v>44</v>
      </c>
      <c r="C62" s="16">
        <v>440</v>
      </c>
      <c r="D62" s="17">
        <v>1139917.68</v>
      </c>
      <c r="E62" s="17">
        <v>1393232.72</v>
      </c>
      <c r="F62" s="17">
        <f>SUM(D62:E62)</f>
        <v>2533150.4</v>
      </c>
      <c r="G62" s="18"/>
      <c r="H62" s="19" t="s">
        <v>40</v>
      </c>
    </row>
    <row r="63" spans="2:8" ht="15.75" x14ac:dyDescent="0.25">
      <c r="B63" s="10" t="s">
        <v>45</v>
      </c>
      <c r="C63" s="16">
        <v>440</v>
      </c>
      <c r="D63" s="17">
        <v>1139917.68</v>
      </c>
      <c r="E63" s="17">
        <v>1393232.72</v>
      </c>
      <c r="F63" s="17">
        <f t="shared" ref="F63:F64" si="17">SUM(D63:E63)</f>
        <v>2533150.4</v>
      </c>
      <c r="G63" s="18"/>
      <c r="H63" s="19" t="s">
        <v>40</v>
      </c>
    </row>
    <row r="64" spans="2:8" ht="15.75" x14ac:dyDescent="0.25">
      <c r="B64" s="10" t="s">
        <v>46</v>
      </c>
      <c r="C64" s="16">
        <v>440</v>
      </c>
      <c r="D64" s="17">
        <v>1139917.68</v>
      </c>
      <c r="E64" s="17">
        <v>2567700.2200000002</v>
      </c>
      <c r="F64" s="17">
        <f t="shared" si="17"/>
        <v>3707617.9000000004</v>
      </c>
      <c r="G64" s="18"/>
      <c r="H64" s="19" t="s">
        <v>40</v>
      </c>
    </row>
    <row r="65" spans="2:9" ht="15.75" x14ac:dyDescent="0.25">
      <c r="B65" s="12" t="s">
        <v>7</v>
      </c>
      <c r="C65" s="13">
        <f>C48+C53+C57+C61</f>
        <v>5278</v>
      </c>
      <c r="D65" s="14">
        <f t="shared" ref="D65:F65" si="18">D48+D53+D57+D61</f>
        <v>13679012.16</v>
      </c>
      <c r="E65" s="14">
        <f t="shared" si="18"/>
        <v>16734668.870000001</v>
      </c>
      <c r="F65" s="14">
        <f t="shared" si="18"/>
        <v>30413681.029999997</v>
      </c>
      <c r="G65" s="15">
        <f>F65/$F$65</f>
        <v>1</v>
      </c>
      <c r="H65" s="11"/>
    </row>
    <row r="68" spans="2:9" ht="54.75" customHeight="1" x14ac:dyDescent="0.25">
      <c r="B68" s="220" t="s">
        <v>48</v>
      </c>
      <c r="C68" s="220"/>
      <c r="D68" s="220"/>
    </row>
    <row r="69" spans="2:9" x14ac:dyDescent="0.25">
      <c r="B69" s="140" t="s">
        <v>362</v>
      </c>
      <c r="C69" s="140" t="s">
        <v>363</v>
      </c>
      <c r="D69" s="22" t="s">
        <v>364</v>
      </c>
    </row>
    <row r="70" spans="2:9" x14ac:dyDescent="0.25">
      <c r="B70" s="2" t="s">
        <v>361</v>
      </c>
      <c r="C70" s="139">
        <v>2063</v>
      </c>
      <c r="D70" s="141">
        <v>473598.64</v>
      </c>
    </row>
    <row r="71" spans="2:9" x14ac:dyDescent="0.25">
      <c r="B71" s="2" t="s">
        <v>365</v>
      </c>
      <c r="C71" s="139">
        <v>307</v>
      </c>
      <c r="D71" s="141">
        <v>144481.07</v>
      </c>
    </row>
    <row r="72" spans="2:9" x14ac:dyDescent="0.25">
      <c r="B72" s="2" t="s">
        <v>366</v>
      </c>
      <c r="C72" s="139">
        <v>2137</v>
      </c>
      <c r="D72" s="141">
        <v>547023.78</v>
      </c>
    </row>
    <row r="73" spans="2:9" x14ac:dyDescent="0.25">
      <c r="B73" s="2" t="s">
        <v>367</v>
      </c>
      <c r="C73" s="139">
        <v>1783</v>
      </c>
      <c r="D73" s="141">
        <v>309588.05</v>
      </c>
    </row>
    <row r="74" spans="2:9" x14ac:dyDescent="0.25">
      <c r="B74" s="22" t="s">
        <v>29</v>
      </c>
      <c r="C74" s="142">
        <f>SUM(C70:C73)</f>
        <v>6290</v>
      </c>
      <c r="D74" s="143">
        <f>SUM(D70:D73)</f>
        <v>1474691.54</v>
      </c>
    </row>
    <row r="76" spans="2:9" ht="54.75" customHeight="1" x14ac:dyDescent="0.25">
      <c r="B76" s="223" t="s">
        <v>51</v>
      </c>
      <c r="C76" s="223"/>
      <c r="D76" s="223"/>
      <c r="E76" s="223"/>
      <c r="F76" s="223"/>
      <c r="G76" s="223"/>
      <c r="H76" s="223"/>
      <c r="I76" s="223"/>
    </row>
    <row r="77" spans="2:9" ht="15.75" x14ac:dyDescent="0.25">
      <c r="B77" s="214" t="s">
        <v>22</v>
      </c>
      <c r="C77" s="217" t="s">
        <v>52</v>
      </c>
      <c r="D77" s="218"/>
      <c r="E77" s="219"/>
      <c r="F77" s="224" t="s">
        <v>53</v>
      </c>
      <c r="G77" s="225"/>
      <c r="H77" s="225"/>
    </row>
    <row r="78" spans="2:9" ht="126" x14ac:dyDescent="0.25">
      <c r="B78" s="214"/>
      <c r="C78" s="10" t="s">
        <v>54</v>
      </c>
      <c r="D78" s="10" t="s">
        <v>55</v>
      </c>
      <c r="E78" s="10" t="s">
        <v>29</v>
      </c>
      <c r="F78" s="10" t="s">
        <v>358</v>
      </c>
      <c r="G78" s="10" t="s">
        <v>359</v>
      </c>
      <c r="H78" s="10" t="s">
        <v>29</v>
      </c>
      <c r="I78" s="21" t="s">
        <v>50</v>
      </c>
    </row>
    <row r="79" spans="2:9" ht="15.75" x14ac:dyDescent="0.25">
      <c r="B79" s="12" t="s">
        <v>30</v>
      </c>
      <c r="C79" s="13">
        <f>SUM(C81:C83)</f>
        <v>16</v>
      </c>
      <c r="D79" s="14"/>
      <c r="E79" s="23">
        <f>SUM(C79:D79)</f>
        <v>16</v>
      </c>
      <c r="F79" s="24">
        <f>SUM(F80:F83)</f>
        <v>22659.4</v>
      </c>
      <c r="G79" s="15"/>
      <c r="H79" s="25">
        <f>SUM(H80:H83)</f>
        <v>22659.4</v>
      </c>
      <c r="I79" s="15">
        <f>H79/$H$96</f>
        <v>0.46996031986354619</v>
      </c>
    </row>
    <row r="80" spans="2:9" ht="15.75" x14ac:dyDescent="0.25">
      <c r="B80" s="138">
        <v>45627</v>
      </c>
      <c r="C80" s="13"/>
      <c r="D80" s="14"/>
      <c r="E80" s="23"/>
      <c r="F80" s="27">
        <v>4405</v>
      </c>
      <c r="G80" s="15"/>
      <c r="H80" s="28">
        <f>SUM(F80:G80)</f>
        <v>4405</v>
      </c>
      <c r="I80" s="15"/>
    </row>
    <row r="81" spans="2:9" ht="15.75" x14ac:dyDescent="0.25">
      <c r="B81" s="10" t="s">
        <v>31</v>
      </c>
      <c r="C81" s="16">
        <v>10</v>
      </c>
      <c r="D81" s="17"/>
      <c r="E81" s="26">
        <f t="shared" ref="E81:E96" si="19">SUM(C81:D81)</f>
        <v>10</v>
      </c>
      <c r="F81" s="27">
        <v>0</v>
      </c>
      <c r="G81" s="18"/>
      <c r="H81" s="28">
        <f>SUM(F81:G81)</f>
        <v>0</v>
      </c>
      <c r="I81" s="18"/>
    </row>
    <row r="82" spans="2:9" ht="15.75" x14ac:dyDescent="0.25">
      <c r="B82" s="10" t="s">
        <v>32</v>
      </c>
      <c r="C82" s="16">
        <v>3</v>
      </c>
      <c r="D82" s="17"/>
      <c r="E82" s="26">
        <f t="shared" si="19"/>
        <v>3</v>
      </c>
      <c r="F82" s="27">
        <v>9127.2000000000007</v>
      </c>
      <c r="G82" s="18"/>
      <c r="H82" s="28">
        <f>SUM(F82:G82)</f>
        <v>9127.2000000000007</v>
      </c>
      <c r="I82" s="18"/>
    </row>
    <row r="83" spans="2:9" ht="15.75" x14ac:dyDescent="0.25">
      <c r="B83" s="10" t="s">
        <v>33</v>
      </c>
      <c r="C83" s="16">
        <v>3</v>
      </c>
      <c r="D83" s="17"/>
      <c r="E83" s="26">
        <f t="shared" si="19"/>
        <v>3</v>
      </c>
      <c r="F83" s="27">
        <v>9127.2000000000007</v>
      </c>
      <c r="G83" s="18"/>
      <c r="H83" s="28">
        <f>SUM(F83:G83)</f>
        <v>9127.2000000000007</v>
      </c>
      <c r="I83" s="18"/>
    </row>
    <row r="84" spans="2:9" s="11" customFormat="1" ht="15.75" x14ac:dyDescent="0.25">
      <c r="B84" s="12" t="s">
        <v>34</v>
      </c>
      <c r="C84" s="13">
        <f>SUM(C85:C87)</f>
        <v>9</v>
      </c>
      <c r="D84" s="14"/>
      <c r="E84" s="23">
        <f t="shared" si="19"/>
        <v>9</v>
      </c>
      <c r="F84" s="24">
        <f>SUM(F85:F87)</f>
        <v>10952.64</v>
      </c>
      <c r="G84" s="15"/>
      <c r="H84" s="25">
        <f>SUM(H85:H87)</f>
        <v>10952.64</v>
      </c>
      <c r="I84" s="15">
        <f>H84/$H$96</f>
        <v>0.2271598629156231</v>
      </c>
    </row>
    <row r="85" spans="2:9" ht="15.75" x14ac:dyDescent="0.25">
      <c r="B85" s="10" t="s">
        <v>35</v>
      </c>
      <c r="C85" s="16">
        <v>3</v>
      </c>
      <c r="D85" s="17"/>
      <c r="E85" s="26">
        <f t="shared" si="19"/>
        <v>3</v>
      </c>
      <c r="F85" s="27">
        <v>3650.88</v>
      </c>
      <c r="G85" s="18"/>
      <c r="H85" s="28">
        <f>SUM(F85:G85)</f>
        <v>3650.88</v>
      </c>
      <c r="I85" s="18"/>
    </row>
    <row r="86" spans="2:9" ht="15.75" x14ac:dyDescent="0.25">
      <c r="B86" s="10" t="s">
        <v>36</v>
      </c>
      <c r="C86" s="16">
        <v>3</v>
      </c>
      <c r="D86" s="17"/>
      <c r="E86" s="26">
        <f t="shared" si="19"/>
        <v>3</v>
      </c>
      <c r="F86" s="27">
        <v>3650.88</v>
      </c>
      <c r="G86" s="18"/>
      <c r="H86" s="28">
        <f>SUM(F86:G86)</f>
        <v>3650.88</v>
      </c>
      <c r="I86" s="18"/>
    </row>
    <row r="87" spans="2:9" ht="15.75" x14ac:dyDescent="0.25">
      <c r="B87" s="10" t="s">
        <v>37</v>
      </c>
      <c r="C87" s="16">
        <v>3</v>
      </c>
      <c r="D87" s="17"/>
      <c r="E87" s="26">
        <f t="shared" si="19"/>
        <v>3</v>
      </c>
      <c r="F87" s="27">
        <v>3650.88</v>
      </c>
      <c r="G87" s="18"/>
      <c r="H87" s="28">
        <f>SUM(F87:G87)</f>
        <v>3650.88</v>
      </c>
      <c r="I87" s="18"/>
    </row>
    <row r="88" spans="2:9" s="11" customFormat="1" ht="15.75" x14ac:dyDescent="0.25">
      <c r="B88" s="12" t="s">
        <v>38</v>
      </c>
      <c r="C88" s="13">
        <f>SUM(C89:C91)</f>
        <v>9</v>
      </c>
      <c r="D88" s="14"/>
      <c r="E88" s="23">
        <f t="shared" si="19"/>
        <v>9</v>
      </c>
      <c r="F88" s="24">
        <f>SUM(F89:F91)</f>
        <v>10952.64</v>
      </c>
      <c r="G88" s="15"/>
      <c r="H88" s="25">
        <f>SUM(H89:H91)</f>
        <v>10952.64</v>
      </c>
      <c r="I88" s="15">
        <f>H88/$H$96</f>
        <v>0.2271598629156231</v>
      </c>
    </row>
    <row r="89" spans="2:9" ht="15.75" x14ac:dyDescent="0.25">
      <c r="B89" s="10" t="s">
        <v>39</v>
      </c>
      <c r="C89" s="16">
        <v>3</v>
      </c>
      <c r="D89" s="17"/>
      <c r="E89" s="26">
        <f t="shared" si="19"/>
        <v>3</v>
      </c>
      <c r="F89" s="27">
        <v>3650.88</v>
      </c>
      <c r="G89" s="18"/>
      <c r="H89" s="28">
        <f>SUM(F89:G89)</f>
        <v>3650.88</v>
      </c>
      <c r="I89" s="18"/>
    </row>
    <row r="90" spans="2:9" ht="15.75" x14ac:dyDescent="0.25">
      <c r="B90" s="10" t="s">
        <v>41</v>
      </c>
      <c r="C90" s="16">
        <v>3</v>
      </c>
      <c r="D90" s="17"/>
      <c r="E90" s="26">
        <f t="shared" si="19"/>
        <v>3</v>
      </c>
      <c r="F90" s="27">
        <v>3650.88</v>
      </c>
      <c r="G90" s="18"/>
      <c r="H90" s="28">
        <f>SUM(F90:G90)</f>
        <v>3650.88</v>
      </c>
      <c r="I90" s="18"/>
    </row>
    <row r="91" spans="2:9" ht="15.75" x14ac:dyDescent="0.25">
      <c r="B91" s="10" t="s">
        <v>42</v>
      </c>
      <c r="C91" s="16">
        <v>3</v>
      </c>
      <c r="D91" s="17"/>
      <c r="E91" s="26">
        <f t="shared" si="19"/>
        <v>3</v>
      </c>
      <c r="F91" s="27">
        <v>3650.88</v>
      </c>
      <c r="G91" s="18"/>
      <c r="H91" s="28">
        <f>SUM(F91:G91)</f>
        <v>3650.88</v>
      </c>
      <c r="I91" s="18"/>
    </row>
    <row r="92" spans="2:9" s="11" customFormat="1" ht="15.75" x14ac:dyDescent="0.25">
      <c r="B92" s="12" t="s">
        <v>43</v>
      </c>
      <c r="C92" s="13">
        <f>SUM(C93:C95)</f>
        <v>9</v>
      </c>
      <c r="D92" s="14"/>
      <c r="E92" s="23">
        <f t="shared" si="19"/>
        <v>9</v>
      </c>
      <c r="F92" s="24">
        <f>SUM(F93:F95)</f>
        <v>3650.88</v>
      </c>
      <c r="G92" s="15"/>
      <c r="H92" s="25">
        <f>SUM(H93:H95)</f>
        <v>3650.88</v>
      </c>
      <c r="I92" s="15">
        <f>H92/$H$96</f>
        <v>7.5719954305207698E-2</v>
      </c>
    </row>
    <row r="93" spans="2:9" ht="15.75" x14ac:dyDescent="0.25">
      <c r="B93" s="10" t="s">
        <v>44</v>
      </c>
      <c r="C93" s="16">
        <v>3</v>
      </c>
      <c r="D93" s="17"/>
      <c r="E93" s="26">
        <f t="shared" si="19"/>
        <v>3</v>
      </c>
      <c r="F93" s="27">
        <v>3650.88</v>
      </c>
      <c r="G93" s="18"/>
      <c r="H93" s="28">
        <f>SUM(F93:G93)</f>
        <v>3650.88</v>
      </c>
      <c r="I93" s="18"/>
    </row>
    <row r="94" spans="2:9" ht="15.75" x14ac:dyDescent="0.25">
      <c r="B94" s="10" t="s">
        <v>45</v>
      </c>
      <c r="C94" s="16">
        <v>3</v>
      </c>
      <c r="D94" s="17"/>
      <c r="E94" s="26">
        <f t="shared" si="19"/>
        <v>3</v>
      </c>
      <c r="F94" s="27"/>
      <c r="G94" s="18"/>
      <c r="H94" s="28">
        <f>SUM(F94:G94)</f>
        <v>0</v>
      </c>
      <c r="I94" s="18"/>
    </row>
    <row r="95" spans="2:9" ht="15.75" x14ac:dyDescent="0.25">
      <c r="B95" s="10" t="s">
        <v>46</v>
      </c>
      <c r="C95" s="16">
        <v>3</v>
      </c>
      <c r="D95" s="17"/>
      <c r="E95" s="26">
        <f t="shared" si="19"/>
        <v>3</v>
      </c>
      <c r="F95" s="27"/>
      <c r="G95" s="18"/>
      <c r="H95" s="28">
        <f>SUM(F95:G95)</f>
        <v>0</v>
      </c>
      <c r="I95" s="18"/>
    </row>
    <row r="96" spans="2:9" s="11" customFormat="1" ht="15.75" x14ac:dyDescent="0.25">
      <c r="B96" s="12" t="s">
        <v>7</v>
      </c>
      <c r="C96" s="13">
        <f>SUM(C79+C84+C88+C92)</f>
        <v>43</v>
      </c>
      <c r="D96" s="14"/>
      <c r="E96" s="23">
        <f t="shared" si="19"/>
        <v>43</v>
      </c>
      <c r="F96" s="24">
        <f>SUM(F79,F84,F88,F92)</f>
        <v>48215.56</v>
      </c>
      <c r="G96" s="15"/>
      <c r="H96" s="29">
        <f>SUM(H79,H84,H88,H92)</f>
        <v>48215.56</v>
      </c>
      <c r="I96" s="15">
        <f>H96/$H$96</f>
        <v>1</v>
      </c>
    </row>
    <row r="99" spans="2:9" ht="16.5" x14ac:dyDescent="0.25">
      <c r="B99" s="223" t="s">
        <v>56</v>
      </c>
      <c r="C99" s="223"/>
      <c r="D99" s="223"/>
      <c r="E99" s="223"/>
      <c r="F99" s="223"/>
      <c r="G99" s="223"/>
      <c r="H99" s="223"/>
      <c r="I99" s="223"/>
    </row>
    <row r="100" spans="2:9" ht="15.75" customHeight="1" x14ac:dyDescent="0.25">
      <c r="B100" s="214" t="s">
        <v>22</v>
      </c>
      <c r="C100" s="217" t="s">
        <v>52</v>
      </c>
      <c r="D100" s="218"/>
      <c r="E100" s="219"/>
      <c r="F100" s="217" t="s">
        <v>53</v>
      </c>
      <c r="G100" s="218"/>
      <c r="H100" s="219"/>
      <c r="I100" s="221" t="s">
        <v>50</v>
      </c>
    </row>
    <row r="101" spans="2:9" ht="126" x14ac:dyDescent="0.25">
      <c r="B101" s="214"/>
      <c r="C101" s="10" t="s">
        <v>54</v>
      </c>
      <c r="D101" s="10" t="s">
        <v>55</v>
      </c>
      <c r="E101" s="10" t="s">
        <v>29</v>
      </c>
      <c r="F101" s="10" t="s">
        <v>57</v>
      </c>
      <c r="G101" s="10" t="s">
        <v>58</v>
      </c>
      <c r="H101" s="10" t="s">
        <v>29</v>
      </c>
      <c r="I101" s="222"/>
    </row>
    <row r="102" spans="2:9" ht="15.75" x14ac:dyDescent="0.25">
      <c r="B102" s="12" t="s">
        <v>30</v>
      </c>
      <c r="C102" s="13">
        <f>SUM(C104:C106)</f>
        <v>28</v>
      </c>
      <c r="D102" s="14"/>
      <c r="E102" s="23">
        <f>SUM(C102:D102)</f>
        <v>28</v>
      </c>
      <c r="F102" s="24">
        <f>SUM(F103:F106)</f>
        <v>53282.8</v>
      </c>
      <c r="G102" s="15"/>
      <c r="H102" s="25">
        <f>SUM(H103:H106)</f>
        <v>53282.8</v>
      </c>
      <c r="I102" s="15">
        <f>H102/$H$119</f>
        <v>0.47799851153631123</v>
      </c>
    </row>
    <row r="103" spans="2:9" ht="15.75" x14ac:dyDescent="0.25">
      <c r="B103" s="138">
        <v>45627</v>
      </c>
      <c r="C103" s="13"/>
      <c r="D103" s="14"/>
      <c r="E103" s="23"/>
      <c r="F103" s="27">
        <v>14874</v>
      </c>
      <c r="G103" s="15"/>
      <c r="H103" s="28">
        <f>SUM(F103:G103)</f>
        <v>14874</v>
      </c>
      <c r="I103" s="15"/>
    </row>
    <row r="104" spans="2:9" ht="15.75" x14ac:dyDescent="0.25">
      <c r="B104" s="10" t="s">
        <v>31</v>
      </c>
      <c r="C104" s="16">
        <v>7</v>
      </c>
      <c r="D104" s="17"/>
      <c r="E104" s="26">
        <f t="shared" ref="E104:E119" si="20">SUM(C104:D104)</f>
        <v>7</v>
      </c>
      <c r="F104" s="27">
        <v>0</v>
      </c>
      <c r="G104" s="18"/>
      <c r="H104" s="28">
        <f>SUM(F104:G104)</f>
        <v>0</v>
      </c>
      <c r="I104" s="18"/>
    </row>
    <row r="105" spans="2:9" ht="15.75" x14ac:dyDescent="0.25">
      <c r="B105" s="10" t="s">
        <v>32</v>
      </c>
      <c r="C105" s="16">
        <v>14</v>
      </c>
      <c r="D105" s="17"/>
      <c r="E105" s="26">
        <f t="shared" si="20"/>
        <v>14</v>
      </c>
      <c r="F105" s="27">
        <v>16099.44</v>
      </c>
      <c r="G105" s="18"/>
      <c r="H105" s="28">
        <f>SUM(F105:G105)</f>
        <v>16099.44</v>
      </c>
      <c r="I105" s="18"/>
    </row>
    <row r="106" spans="2:9" ht="15.75" x14ac:dyDescent="0.25">
      <c r="B106" s="10" t="s">
        <v>33</v>
      </c>
      <c r="C106" s="16">
        <v>7</v>
      </c>
      <c r="D106" s="17"/>
      <c r="E106" s="26">
        <f t="shared" si="20"/>
        <v>7</v>
      </c>
      <c r="F106" s="27">
        <v>22309.360000000001</v>
      </c>
      <c r="G106" s="18"/>
      <c r="H106" s="28">
        <f>SUM(F106:G106)</f>
        <v>22309.360000000001</v>
      </c>
      <c r="I106" s="18"/>
    </row>
    <row r="107" spans="2:9" ht="15.75" x14ac:dyDescent="0.25">
      <c r="B107" s="12" t="s">
        <v>34</v>
      </c>
      <c r="C107" s="13">
        <f>SUM(C108:C110)</f>
        <v>21</v>
      </c>
      <c r="D107" s="14"/>
      <c r="E107" s="23">
        <f t="shared" si="20"/>
        <v>21</v>
      </c>
      <c r="F107" s="24">
        <f>SUM(F108:F110)</f>
        <v>24149.16</v>
      </c>
      <c r="G107" s="15"/>
      <c r="H107" s="25">
        <f>SUM(H108:H110)</f>
        <v>24149.16</v>
      </c>
      <c r="I107" s="15">
        <f>H107/$H$119</f>
        <v>0.21664144029315699</v>
      </c>
    </row>
    <row r="108" spans="2:9" ht="15.75" x14ac:dyDescent="0.25">
      <c r="B108" s="10" t="s">
        <v>35</v>
      </c>
      <c r="C108" s="16">
        <v>7</v>
      </c>
      <c r="D108" s="17"/>
      <c r="E108" s="26">
        <f t="shared" si="20"/>
        <v>7</v>
      </c>
      <c r="F108" s="27">
        <v>8049.72</v>
      </c>
      <c r="G108" s="18"/>
      <c r="H108" s="28">
        <f>SUM(F108:G108)</f>
        <v>8049.72</v>
      </c>
      <c r="I108" s="18"/>
    </row>
    <row r="109" spans="2:9" ht="15.75" x14ac:dyDescent="0.25">
      <c r="B109" s="10" t="s">
        <v>36</v>
      </c>
      <c r="C109" s="16">
        <v>7</v>
      </c>
      <c r="D109" s="17"/>
      <c r="E109" s="26">
        <f t="shared" si="20"/>
        <v>7</v>
      </c>
      <c r="F109" s="27">
        <v>8049.72</v>
      </c>
      <c r="G109" s="18"/>
      <c r="H109" s="28">
        <f>SUM(F109:G109)</f>
        <v>8049.72</v>
      </c>
      <c r="I109" s="18"/>
    </row>
    <row r="110" spans="2:9" ht="15.75" x14ac:dyDescent="0.25">
      <c r="B110" s="10" t="s">
        <v>37</v>
      </c>
      <c r="C110" s="16">
        <v>7</v>
      </c>
      <c r="D110" s="17"/>
      <c r="E110" s="26">
        <f t="shared" si="20"/>
        <v>7</v>
      </c>
      <c r="F110" s="27">
        <v>8049.72</v>
      </c>
      <c r="G110" s="18"/>
      <c r="H110" s="28">
        <f>SUM(F110:G110)</f>
        <v>8049.72</v>
      </c>
      <c r="I110" s="18"/>
    </row>
    <row r="111" spans="2:9" ht="15.75" x14ac:dyDescent="0.25">
      <c r="B111" s="12" t="s">
        <v>38</v>
      </c>
      <c r="C111" s="13">
        <f>SUM(C112:C114)</f>
        <v>21</v>
      </c>
      <c r="D111" s="14"/>
      <c r="E111" s="23">
        <f t="shared" si="20"/>
        <v>21</v>
      </c>
      <c r="F111" s="24">
        <f>SUM(F112:F114)</f>
        <v>24149.16</v>
      </c>
      <c r="G111" s="15"/>
      <c r="H111" s="25">
        <f>SUM(H112:H114)</f>
        <v>24149.16</v>
      </c>
      <c r="I111" s="15">
        <f>H111/$H$119</f>
        <v>0.21664144029315699</v>
      </c>
    </row>
    <row r="112" spans="2:9" ht="15.75" x14ac:dyDescent="0.25">
      <c r="B112" s="10" t="s">
        <v>39</v>
      </c>
      <c r="C112" s="16">
        <v>7</v>
      </c>
      <c r="D112" s="17"/>
      <c r="E112" s="26">
        <f t="shared" si="20"/>
        <v>7</v>
      </c>
      <c r="F112" s="27">
        <v>8049.72</v>
      </c>
      <c r="G112" s="18"/>
      <c r="H112" s="28">
        <f>SUM(F112:G112)</f>
        <v>8049.72</v>
      </c>
      <c r="I112" s="18"/>
    </row>
    <row r="113" spans="2:9" ht="15.75" x14ac:dyDescent="0.25">
      <c r="B113" s="10" t="s">
        <v>41</v>
      </c>
      <c r="C113" s="16">
        <v>7</v>
      </c>
      <c r="D113" s="17"/>
      <c r="E113" s="26">
        <f t="shared" si="20"/>
        <v>7</v>
      </c>
      <c r="F113" s="27">
        <v>8049.72</v>
      </c>
      <c r="G113" s="18"/>
      <c r="H113" s="28">
        <f>SUM(F113:G113)</f>
        <v>8049.72</v>
      </c>
      <c r="I113" s="18"/>
    </row>
    <row r="114" spans="2:9" ht="15.75" x14ac:dyDescent="0.25">
      <c r="B114" s="10" t="s">
        <v>42</v>
      </c>
      <c r="C114" s="16">
        <v>7</v>
      </c>
      <c r="D114" s="17"/>
      <c r="E114" s="26">
        <f t="shared" si="20"/>
        <v>7</v>
      </c>
      <c r="F114" s="27">
        <v>8049.72</v>
      </c>
      <c r="G114" s="18"/>
      <c r="H114" s="28">
        <f>SUM(F114:G114)</f>
        <v>8049.72</v>
      </c>
      <c r="I114" s="18"/>
    </row>
    <row r="115" spans="2:9" ht="15.75" x14ac:dyDescent="0.25">
      <c r="B115" s="12" t="s">
        <v>43</v>
      </c>
      <c r="C115" s="13">
        <f>SUM(C116:C118)</f>
        <v>21</v>
      </c>
      <c r="D115" s="14"/>
      <c r="E115" s="23">
        <f t="shared" si="20"/>
        <v>21</v>
      </c>
      <c r="F115" s="24">
        <f>SUM(F116:F118)</f>
        <v>9889.52</v>
      </c>
      <c r="G115" s="15"/>
      <c r="H115" s="25">
        <f>SUM(H116:H118)</f>
        <v>9889.52</v>
      </c>
      <c r="I115" s="15">
        <f>H115/$H$119</f>
        <v>8.8718607877374706E-2</v>
      </c>
    </row>
    <row r="116" spans="2:9" ht="15.75" x14ac:dyDescent="0.25">
      <c r="B116" s="10" t="s">
        <v>44</v>
      </c>
      <c r="C116" s="16">
        <v>7</v>
      </c>
      <c r="D116" s="17"/>
      <c r="E116" s="26">
        <f t="shared" si="20"/>
        <v>7</v>
      </c>
      <c r="F116" s="27">
        <v>8049.72</v>
      </c>
      <c r="G116" s="18"/>
      <c r="H116" s="28">
        <f>SUM(F116:G116)</f>
        <v>8049.72</v>
      </c>
      <c r="I116" s="18"/>
    </row>
    <row r="117" spans="2:9" ht="15.75" x14ac:dyDescent="0.25">
      <c r="B117" s="10" t="s">
        <v>45</v>
      </c>
      <c r="C117" s="16">
        <v>7</v>
      </c>
      <c r="D117" s="17"/>
      <c r="E117" s="26">
        <f t="shared" si="20"/>
        <v>7</v>
      </c>
      <c r="F117" s="27">
        <v>1839.8</v>
      </c>
      <c r="G117" s="18"/>
      <c r="H117" s="28">
        <f>SUM(F117:G117)</f>
        <v>1839.8</v>
      </c>
      <c r="I117" s="18"/>
    </row>
    <row r="118" spans="2:9" ht="15.75" x14ac:dyDescent="0.25">
      <c r="B118" s="10" t="s">
        <v>46</v>
      </c>
      <c r="C118" s="16">
        <v>7</v>
      </c>
      <c r="D118" s="17"/>
      <c r="E118" s="26">
        <f t="shared" si="20"/>
        <v>7</v>
      </c>
      <c r="F118" s="27"/>
      <c r="G118" s="18"/>
      <c r="H118" s="28">
        <f>SUM(F118:G118)</f>
        <v>0</v>
      </c>
      <c r="I118" s="18"/>
    </row>
    <row r="119" spans="2:9" ht="15.75" x14ac:dyDescent="0.25">
      <c r="B119" s="12" t="s">
        <v>7</v>
      </c>
      <c r="C119" s="13">
        <f>SUM(C102+C107+C111+C115)</f>
        <v>91</v>
      </c>
      <c r="D119" s="14"/>
      <c r="E119" s="23">
        <f t="shared" si="20"/>
        <v>91</v>
      </c>
      <c r="F119" s="24">
        <f>SUM(F102,F107,F111,F115)</f>
        <v>111470.64000000001</v>
      </c>
      <c r="G119" s="15"/>
      <c r="H119" s="29">
        <f>SUM(H102,H107,H111,H115)</f>
        <v>111470.64000000001</v>
      </c>
      <c r="I119" s="15">
        <f>H119/$H$119</f>
        <v>1</v>
      </c>
    </row>
    <row r="122" spans="2:9" ht="54" customHeight="1" x14ac:dyDescent="0.25">
      <c r="B122" s="220" t="s">
        <v>59</v>
      </c>
      <c r="C122" s="220"/>
      <c r="D122" s="220"/>
      <c r="E122" s="220"/>
      <c r="F122" s="30"/>
      <c r="G122" s="30"/>
      <c r="H122" s="30"/>
      <c r="I122" s="30"/>
    </row>
    <row r="123" spans="2:9" ht="52.5" customHeight="1" x14ac:dyDescent="0.25">
      <c r="B123" s="31" t="s">
        <v>22</v>
      </c>
      <c r="C123" s="10" t="s">
        <v>60</v>
      </c>
      <c r="D123" s="10" t="s">
        <v>61</v>
      </c>
      <c r="E123" s="21" t="s">
        <v>50</v>
      </c>
    </row>
    <row r="124" spans="2:9" ht="15.75" x14ac:dyDescent="0.25">
      <c r="B124" s="12" t="s">
        <v>30</v>
      </c>
      <c r="C124" s="13">
        <f>SUM(C126:C128)</f>
        <v>228</v>
      </c>
      <c r="D124" s="24">
        <f>SUM(D125:D128)</f>
        <v>70229.52</v>
      </c>
      <c r="E124" s="15">
        <f>D124/$D$141</f>
        <v>0.21302998965873837</v>
      </c>
    </row>
    <row r="125" spans="2:9" ht="15.75" x14ac:dyDescent="0.25">
      <c r="B125" s="138">
        <v>45627</v>
      </c>
      <c r="C125" s="13"/>
      <c r="D125" s="27">
        <v>18750.599999999999</v>
      </c>
      <c r="E125" s="15"/>
    </row>
    <row r="126" spans="2:9" ht="15.75" x14ac:dyDescent="0.25">
      <c r="B126" s="10" t="s">
        <v>31</v>
      </c>
      <c r="C126" s="16">
        <v>76</v>
      </c>
      <c r="D126" s="27">
        <v>0</v>
      </c>
      <c r="E126" s="18"/>
    </row>
    <row r="127" spans="2:9" ht="15.75" x14ac:dyDescent="0.25">
      <c r="B127" s="10" t="s">
        <v>32</v>
      </c>
      <c r="C127" s="16">
        <v>76</v>
      </c>
      <c r="D127" s="27">
        <f>C127*340.92</f>
        <v>25909.920000000002</v>
      </c>
      <c r="E127" s="18"/>
    </row>
    <row r="128" spans="2:9" ht="15.75" x14ac:dyDescent="0.25">
      <c r="B128" s="10" t="s">
        <v>33</v>
      </c>
      <c r="C128" s="16">
        <v>76</v>
      </c>
      <c r="D128" s="27">
        <v>25569</v>
      </c>
      <c r="E128" s="18"/>
    </row>
    <row r="129" spans="2:5" ht="15.75" x14ac:dyDescent="0.25">
      <c r="B129" s="12" t="s">
        <v>34</v>
      </c>
      <c r="C129" s="13">
        <f>SUM(C130:C132)</f>
        <v>228</v>
      </c>
      <c r="D129" s="24">
        <f>SUM(D130:D132)</f>
        <v>77729.760000000009</v>
      </c>
      <c r="E129" s="15">
        <f>D129/$D$141</f>
        <v>0.23578076525336092</v>
      </c>
    </row>
    <row r="130" spans="2:5" ht="15.75" x14ac:dyDescent="0.25">
      <c r="B130" s="10" t="s">
        <v>35</v>
      </c>
      <c r="C130" s="16">
        <v>76</v>
      </c>
      <c r="D130" s="27">
        <f>C130*340.92</f>
        <v>25909.920000000002</v>
      </c>
      <c r="E130" s="18"/>
    </row>
    <row r="131" spans="2:5" ht="15.75" x14ac:dyDescent="0.25">
      <c r="B131" s="10" t="s">
        <v>36</v>
      </c>
      <c r="C131" s="16">
        <v>76</v>
      </c>
      <c r="D131" s="27">
        <f t="shared" ref="D131:D139" si="21">C131*340.92</f>
        <v>25909.920000000002</v>
      </c>
      <c r="E131" s="18"/>
    </row>
    <row r="132" spans="2:5" ht="15.75" x14ac:dyDescent="0.25">
      <c r="B132" s="10" t="s">
        <v>37</v>
      </c>
      <c r="C132" s="16">
        <v>76</v>
      </c>
      <c r="D132" s="27">
        <f t="shared" si="21"/>
        <v>25909.920000000002</v>
      </c>
      <c r="E132" s="18"/>
    </row>
    <row r="133" spans="2:5" ht="15.75" x14ac:dyDescent="0.25">
      <c r="B133" s="12" t="s">
        <v>38</v>
      </c>
      <c r="C133" s="13">
        <f>SUM(C134:C136)</f>
        <v>228</v>
      </c>
      <c r="D133" s="24">
        <f>SUM(D134:D136)</f>
        <v>77729.760000000009</v>
      </c>
      <c r="E133" s="15">
        <f>D133/$D$141</f>
        <v>0.23578076525336092</v>
      </c>
    </row>
    <row r="134" spans="2:5" ht="15.75" x14ac:dyDescent="0.25">
      <c r="B134" s="10" t="s">
        <v>39</v>
      </c>
      <c r="C134" s="16">
        <v>76</v>
      </c>
      <c r="D134" s="27">
        <f t="shared" si="21"/>
        <v>25909.920000000002</v>
      </c>
      <c r="E134" s="18"/>
    </row>
    <row r="135" spans="2:5" ht="15.75" x14ac:dyDescent="0.25">
      <c r="B135" s="10" t="s">
        <v>41</v>
      </c>
      <c r="C135" s="16">
        <v>76</v>
      </c>
      <c r="D135" s="27">
        <f t="shared" si="21"/>
        <v>25909.920000000002</v>
      </c>
      <c r="E135" s="18"/>
    </row>
    <row r="136" spans="2:5" ht="15.75" x14ac:dyDescent="0.25">
      <c r="B136" s="10" t="s">
        <v>42</v>
      </c>
      <c r="C136" s="16">
        <v>76</v>
      </c>
      <c r="D136" s="27">
        <f t="shared" si="21"/>
        <v>25909.920000000002</v>
      </c>
      <c r="E136" s="18"/>
    </row>
    <row r="137" spans="2:5" ht="15.75" x14ac:dyDescent="0.25">
      <c r="B137" s="12" t="s">
        <v>43</v>
      </c>
      <c r="C137" s="13">
        <f>SUM(C138:C140)</f>
        <v>228</v>
      </c>
      <c r="D137" s="24">
        <f>SUM(D138:D140)</f>
        <v>103980.6</v>
      </c>
      <c r="E137" s="15">
        <f>D137/$D$141</f>
        <v>0.31540847983453985</v>
      </c>
    </row>
    <row r="138" spans="2:5" ht="15.75" x14ac:dyDescent="0.25">
      <c r="B138" s="10" t="s">
        <v>44</v>
      </c>
      <c r="C138" s="16">
        <v>76</v>
      </c>
      <c r="D138" s="27">
        <f t="shared" si="21"/>
        <v>25909.920000000002</v>
      </c>
      <c r="E138" s="18"/>
    </row>
    <row r="139" spans="2:5" ht="15.75" x14ac:dyDescent="0.25">
      <c r="B139" s="10" t="s">
        <v>45</v>
      </c>
      <c r="C139" s="16">
        <v>76</v>
      </c>
      <c r="D139" s="27">
        <f t="shared" si="21"/>
        <v>25909.920000000002</v>
      </c>
      <c r="E139" s="18"/>
    </row>
    <row r="140" spans="2:5" ht="15.75" x14ac:dyDescent="0.25">
      <c r="B140" s="10" t="s">
        <v>46</v>
      </c>
      <c r="C140" s="16">
        <v>76</v>
      </c>
      <c r="D140" s="27">
        <v>52160.76</v>
      </c>
      <c r="E140" s="18"/>
    </row>
    <row r="141" spans="2:5" ht="15.75" x14ac:dyDescent="0.25">
      <c r="B141" s="12" t="s">
        <v>7</v>
      </c>
      <c r="C141" s="13">
        <f>SUM(C124+C129+C133+C137)</f>
        <v>912</v>
      </c>
      <c r="D141" s="24">
        <f>SUM(D124,D129,D133,D137)</f>
        <v>329669.64</v>
      </c>
      <c r="E141" s="15">
        <f>D141/$D$141</f>
        <v>1</v>
      </c>
    </row>
    <row r="143" spans="2:5" ht="58.5" customHeight="1" x14ac:dyDescent="0.25">
      <c r="B143" s="220" t="s">
        <v>62</v>
      </c>
      <c r="C143" s="220"/>
      <c r="D143" s="220"/>
      <c r="E143" s="220"/>
    </row>
    <row r="144" spans="2:5" ht="47.25" x14ac:dyDescent="0.25">
      <c r="B144" s="31" t="s">
        <v>22</v>
      </c>
      <c r="C144" s="10" t="s">
        <v>60</v>
      </c>
      <c r="D144" s="10" t="s">
        <v>61</v>
      </c>
      <c r="E144" s="21" t="s">
        <v>50</v>
      </c>
    </row>
    <row r="145" spans="2:5" ht="15.75" x14ac:dyDescent="0.25">
      <c r="B145" s="12" t="s">
        <v>30</v>
      </c>
      <c r="C145" s="13">
        <f>SUM(C147:C149)</f>
        <v>34</v>
      </c>
      <c r="D145" s="24">
        <f>SUM(D146:D149)</f>
        <v>78817.66</v>
      </c>
      <c r="E145" s="15">
        <f>D145/$D$162</f>
        <v>5.9989340729995594E-2</v>
      </c>
    </row>
    <row r="146" spans="2:5" ht="15.75" x14ac:dyDescent="0.25">
      <c r="B146" s="138">
        <v>45627</v>
      </c>
      <c r="C146" s="13"/>
      <c r="D146" s="27">
        <v>65992.38</v>
      </c>
      <c r="E146" s="15"/>
    </row>
    <row r="147" spans="2:5" ht="15.75" x14ac:dyDescent="0.25">
      <c r="B147" s="10" t="s">
        <v>31</v>
      </c>
      <c r="C147" s="16">
        <v>0</v>
      </c>
      <c r="D147" s="27">
        <v>0</v>
      </c>
      <c r="E147" s="18"/>
    </row>
    <row r="148" spans="2:5" ht="15.75" x14ac:dyDescent="0.25">
      <c r="B148" s="10" t="s">
        <v>32</v>
      </c>
      <c r="C148" s="16">
        <v>17</v>
      </c>
      <c r="D148" s="27">
        <v>0</v>
      </c>
      <c r="E148" s="18"/>
    </row>
    <row r="149" spans="2:5" ht="15.75" x14ac:dyDescent="0.25">
      <c r="B149" s="10" t="s">
        <v>33</v>
      </c>
      <c r="C149" s="16">
        <v>17</v>
      </c>
      <c r="D149" s="27">
        <v>12825.28</v>
      </c>
      <c r="E149" s="18"/>
    </row>
    <row r="150" spans="2:5" ht="15.75" x14ac:dyDescent="0.25">
      <c r="B150" s="12" t="s">
        <v>34</v>
      </c>
      <c r="C150" s="13">
        <f>SUM(C151:C153)</f>
        <v>51</v>
      </c>
      <c r="D150" s="24">
        <f>SUM(D151:D153)</f>
        <v>389683.68</v>
      </c>
      <c r="E150" s="15">
        <f>D150/$D$162</f>
        <v>0.29659427920644393</v>
      </c>
    </row>
    <row r="151" spans="2:5" ht="15.75" x14ac:dyDescent="0.25">
      <c r="B151" s="10" t="s">
        <v>35</v>
      </c>
      <c r="C151" s="16">
        <v>17</v>
      </c>
      <c r="D151" s="27">
        <v>129894.56</v>
      </c>
      <c r="E151" s="18"/>
    </row>
    <row r="152" spans="2:5" ht="15.75" x14ac:dyDescent="0.25">
      <c r="B152" s="10" t="s">
        <v>36</v>
      </c>
      <c r="C152" s="16">
        <v>17</v>
      </c>
      <c r="D152" s="27">
        <v>129894.56</v>
      </c>
      <c r="E152" s="18"/>
    </row>
    <row r="153" spans="2:5" ht="15.75" x14ac:dyDescent="0.25">
      <c r="B153" s="10" t="s">
        <v>37</v>
      </c>
      <c r="C153" s="16">
        <v>17</v>
      </c>
      <c r="D153" s="27">
        <v>129894.56</v>
      </c>
      <c r="E153" s="18"/>
    </row>
    <row r="154" spans="2:5" ht="15.75" x14ac:dyDescent="0.25">
      <c r="B154" s="12" t="s">
        <v>38</v>
      </c>
      <c r="C154" s="13">
        <f>SUM(C155:C157)</f>
        <v>51</v>
      </c>
      <c r="D154" s="24">
        <f>SUM(D155:D157)</f>
        <v>389683.68</v>
      </c>
      <c r="E154" s="15">
        <f>D154/$D$162</f>
        <v>0.29659427920644393</v>
      </c>
    </row>
    <row r="155" spans="2:5" ht="15.75" x14ac:dyDescent="0.25">
      <c r="B155" s="10" t="s">
        <v>39</v>
      </c>
      <c r="C155" s="16">
        <v>17</v>
      </c>
      <c r="D155" s="27">
        <v>129894.56</v>
      </c>
      <c r="E155" s="18"/>
    </row>
    <row r="156" spans="2:5" ht="15.75" x14ac:dyDescent="0.25">
      <c r="B156" s="10" t="s">
        <v>41</v>
      </c>
      <c r="C156" s="16">
        <v>17</v>
      </c>
      <c r="D156" s="27">
        <v>129894.56</v>
      </c>
      <c r="E156" s="18"/>
    </row>
    <row r="157" spans="2:5" ht="15.75" x14ac:dyDescent="0.25">
      <c r="B157" s="10" t="s">
        <v>42</v>
      </c>
      <c r="C157" s="16">
        <v>17</v>
      </c>
      <c r="D157" s="27">
        <v>129894.56</v>
      </c>
      <c r="E157" s="18"/>
    </row>
    <row r="158" spans="2:5" ht="15.75" x14ac:dyDescent="0.25">
      <c r="B158" s="12" t="s">
        <v>43</v>
      </c>
      <c r="C158" s="13">
        <f>SUM(C159:C161)</f>
        <v>51</v>
      </c>
      <c r="D158" s="24">
        <f>SUM(D159:D161)</f>
        <v>455676.06</v>
      </c>
      <c r="E158" s="15">
        <f>D158/$D$162</f>
        <v>0.34682210085711646</v>
      </c>
    </row>
    <row r="159" spans="2:5" ht="15.75" x14ac:dyDescent="0.25">
      <c r="B159" s="10" t="s">
        <v>44</v>
      </c>
      <c r="C159" s="16">
        <v>17</v>
      </c>
      <c r="D159" s="27">
        <v>129894.56</v>
      </c>
      <c r="E159" s="18"/>
    </row>
    <row r="160" spans="2:5" ht="15.75" x14ac:dyDescent="0.25">
      <c r="B160" s="10" t="s">
        <v>45</v>
      </c>
      <c r="C160" s="16">
        <v>17</v>
      </c>
      <c r="D160" s="27">
        <v>129894.56</v>
      </c>
      <c r="E160" s="18"/>
    </row>
    <row r="161" spans="2:5" ht="15.75" x14ac:dyDescent="0.25">
      <c r="B161" s="10" t="s">
        <v>46</v>
      </c>
      <c r="C161" s="16">
        <v>17</v>
      </c>
      <c r="D161" s="27">
        <v>195886.94</v>
      </c>
      <c r="E161" s="18"/>
    </row>
    <row r="162" spans="2:5" ht="15.75" x14ac:dyDescent="0.25">
      <c r="B162" s="12" t="s">
        <v>7</v>
      </c>
      <c r="C162" s="13">
        <f>SUM(C145+C150+C154+C158)</f>
        <v>187</v>
      </c>
      <c r="D162" s="24">
        <f>SUM(D145,D150,D154,D158)</f>
        <v>1313861.08</v>
      </c>
      <c r="E162" s="15">
        <f>D162/$D$162</f>
        <v>1</v>
      </c>
    </row>
    <row r="164" spans="2:5" ht="60" customHeight="1" x14ac:dyDescent="0.25">
      <c r="B164" s="220" t="s">
        <v>360</v>
      </c>
      <c r="C164" s="220"/>
      <c r="D164" s="220"/>
      <c r="E164" s="220"/>
    </row>
    <row r="165" spans="2:5" ht="47.25" x14ac:dyDescent="0.25">
      <c r="B165" s="31" t="s">
        <v>22</v>
      </c>
      <c r="C165" s="10" t="s">
        <v>60</v>
      </c>
      <c r="D165" s="10" t="s">
        <v>61</v>
      </c>
      <c r="E165" s="21" t="s">
        <v>50</v>
      </c>
    </row>
    <row r="166" spans="2:5" ht="15.75" x14ac:dyDescent="0.25">
      <c r="B166" s="12" t="s">
        <v>30</v>
      </c>
      <c r="C166" s="13">
        <f>SUM(C168:C170)</f>
        <v>138</v>
      </c>
      <c r="D166" s="24">
        <f>SUM(D167:D170)</f>
        <v>104000.92</v>
      </c>
      <c r="E166" s="15">
        <f>D166/$D$183</f>
        <v>0.21579321814393246</v>
      </c>
    </row>
    <row r="167" spans="2:5" ht="15.75" x14ac:dyDescent="0.25">
      <c r="B167" s="138">
        <v>45627</v>
      </c>
      <c r="C167" s="13"/>
      <c r="D167" s="27">
        <v>6288</v>
      </c>
      <c r="E167" s="15"/>
    </row>
    <row r="168" spans="2:5" ht="15.75" x14ac:dyDescent="0.25">
      <c r="B168" s="10" t="s">
        <v>31</v>
      </c>
      <c r="C168" s="16">
        <v>54</v>
      </c>
      <c r="D168" s="27">
        <v>0</v>
      </c>
      <c r="E168" s="18"/>
    </row>
    <row r="169" spans="2:5" ht="15.75" x14ac:dyDescent="0.25">
      <c r="B169" s="10" t="s">
        <v>32</v>
      </c>
      <c r="C169" s="16">
        <v>42</v>
      </c>
      <c r="D169" s="27">
        <v>49778.28</v>
      </c>
      <c r="E169" s="18"/>
    </row>
    <row r="170" spans="2:5" ht="15.75" x14ac:dyDescent="0.25">
      <c r="B170" s="10" t="s">
        <v>33</v>
      </c>
      <c r="C170" s="16">
        <v>42</v>
      </c>
      <c r="D170" s="27">
        <v>47934.64</v>
      </c>
      <c r="E170" s="18"/>
    </row>
    <row r="171" spans="2:5" ht="15.75" x14ac:dyDescent="0.25">
      <c r="B171" s="12" t="s">
        <v>34</v>
      </c>
      <c r="C171" s="13">
        <f>SUM(C172:C174)</f>
        <v>126</v>
      </c>
      <c r="D171" s="24">
        <f>SUM(D172:D174)</f>
        <v>121010.79000000001</v>
      </c>
      <c r="E171" s="15">
        <f>D171/$D$183</f>
        <v>0.25108727696100769</v>
      </c>
    </row>
    <row r="172" spans="2:5" ht="15.75" x14ac:dyDescent="0.25">
      <c r="B172" s="10" t="s">
        <v>35</v>
      </c>
      <c r="C172" s="16">
        <v>42</v>
      </c>
      <c r="D172" s="27">
        <v>40336.93</v>
      </c>
      <c r="E172" s="18"/>
    </row>
    <row r="173" spans="2:5" ht="15.75" x14ac:dyDescent="0.25">
      <c r="B173" s="10" t="s">
        <v>36</v>
      </c>
      <c r="C173" s="16">
        <v>42</v>
      </c>
      <c r="D173" s="27">
        <v>40336.93</v>
      </c>
      <c r="E173" s="18"/>
    </row>
    <row r="174" spans="2:5" ht="15.75" x14ac:dyDescent="0.25">
      <c r="B174" s="10" t="s">
        <v>37</v>
      </c>
      <c r="C174" s="16">
        <v>42</v>
      </c>
      <c r="D174" s="27">
        <v>40336.93</v>
      </c>
      <c r="E174" s="18"/>
    </row>
    <row r="175" spans="2:5" ht="15.75" x14ac:dyDescent="0.25">
      <c r="B175" s="12" t="s">
        <v>38</v>
      </c>
      <c r="C175" s="13">
        <f>SUM(C176:C178)</f>
        <v>126</v>
      </c>
      <c r="D175" s="24">
        <f>SUM(D176:D178)</f>
        <v>121010.79000000001</v>
      </c>
      <c r="E175" s="15">
        <f>D175/$D$183</f>
        <v>0.25108727696100769</v>
      </c>
    </row>
    <row r="176" spans="2:5" ht="15.75" x14ac:dyDescent="0.25">
      <c r="B176" s="10" t="s">
        <v>39</v>
      </c>
      <c r="C176" s="16">
        <v>42</v>
      </c>
      <c r="D176" s="27">
        <v>40336.93</v>
      </c>
      <c r="E176" s="18"/>
    </row>
    <row r="177" spans="2:8" ht="15.75" x14ac:dyDescent="0.25">
      <c r="B177" s="10" t="s">
        <v>41</v>
      </c>
      <c r="C177" s="16">
        <v>42</v>
      </c>
      <c r="D177" s="27">
        <v>40336.93</v>
      </c>
      <c r="E177" s="18"/>
    </row>
    <row r="178" spans="2:8" ht="15.75" x14ac:dyDescent="0.25">
      <c r="B178" s="10" t="s">
        <v>42</v>
      </c>
      <c r="C178" s="16">
        <v>42</v>
      </c>
      <c r="D178" s="27">
        <v>40336.93</v>
      </c>
      <c r="E178" s="18"/>
    </row>
    <row r="179" spans="2:8" ht="15.75" x14ac:dyDescent="0.25">
      <c r="B179" s="12" t="s">
        <v>43</v>
      </c>
      <c r="C179" s="13">
        <f>SUM(C180:C182)</f>
        <v>126</v>
      </c>
      <c r="D179" s="24">
        <f>SUM(D180:D182)</f>
        <v>135924.62</v>
      </c>
      <c r="E179" s="15">
        <f>D179/$D$183</f>
        <v>0.28203222793405219</v>
      </c>
    </row>
    <row r="180" spans="2:8" ht="15.75" x14ac:dyDescent="0.25">
      <c r="B180" s="10" t="s">
        <v>44</v>
      </c>
      <c r="C180" s="16">
        <v>42</v>
      </c>
      <c r="D180" s="27">
        <v>40336.93</v>
      </c>
      <c r="E180" s="18"/>
    </row>
    <row r="181" spans="2:8" ht="15.75" x14ac:dyDescent="0.25">
      <c r="B181" s="10" t="s">
        <v>45</v>
      </c>
      <c r="C181" s="16">
        <v>42</v>
      </c>
      <c r="D181" s="27">
        <v>40336.93</v>
      </c>
      <c r="E181" s="18"/>
    </row>
    <row r="182" spans="2:8" ht="15.75" x14ac:dyDescent="0.25">
      <c r="B182" s="10" t="s">
        <v>46</v>
      </c>
      <c r="C182" s="16">
        <v>42</v>
      </c>
      <c r="D182" s="27">
        <v>55250.76</v>
      </c>
      <c r="E182" s="18"/>
    </row>
    <row r="183" spans="2:8" ht="15.75" x14ac:dyDescent="0.25">
      <c r="B183" s="12" t="s">
        <v>7</v>
      </c>
      <c r="C183" s="13">
        <f>SUM(C166+C171+C175+C179)</f>
        <v>516</v>
      </c>
      <c r="D183" s="24">
        <f>SUM(D166,D171,D175,D179)</f>
        <v>481947.12</v>
      </c>
      <c r="E183" s="15">
        <f>D183/$D$183</f>
        <v>1</v>
      </c>
    </row>
    <row r="186" spans="2:8" ht="54.75" customHeight="1" x14ac:dyDescent="0.25">
      <c r="B186" s="220" t="s">
        <v>63</v>
      </c>
      <c r="C186" s="220"/>
      <c r="D186" s="220"/>
      <c r="E186" s="220"/>
      <c r="F186" s="220"/>
      <c r="G186" s="220"/>
    </row>
    <row r="187" spans="2:8" ht="15.75" x14ac:dyDescent="0.25">
      <c r="B187" s="214" t="s">
        <v>22</v>
      </c>
      <c r="C187" s="215" t="s">
        <v>23</v>
      </c>
      <c r="D187" s="217" t="s">
        <v>24</v>
      </c>
      <c r="E187" s="218"/>
      <c r="F187" s="219"/>
      <c r="G187" s="215" t="s">
        <v>25</v>
      </c>
      <c r="H187" s="213" t="s">
        <v>26</v>
      </c>
    </row>
    <row r="188" spans="2:8" ht="47.25" x14ac:dyDescent="0.25">
      <c r="B188" s="214"/>
      <c r="C188" s="216"/>
      <c r="D188" s="10" t="s">
        <v>27</v>
      </c>
      <c r="E188" s="10" t="s">
        <v>28</v>
      </c>
      <c r="F188" s="10" t="s">
        <v>29</v>
      </c>
      <c r="G188" s="216"/>
      <c r="H188" s="213"/>
    </row>
    <row r="189" spans="2:8" ht="15.75" x14ac:dyDescent="0.25">
      <c r="B189" s="12" t="s">
        <v>30</v>
      </c>
      <c r="C189" s="13">
        <f>SUM(C191:C193)</f>
        <v>70</v>
      </c>
      <c r="D189" s="14">
        <f t="shared" ref="D189" si="22">SUM(D191:D193)</f>
        <v>446006.52</v>
      </c>
      <c r="E189" s="14">
        <f>SUM(E190:E193)</f>
        <v>270697.37</v>
      </c>
      <c r="F189" s="14">
        <f>SUM(F190:F193)</f>
        <v>715933.31</v>
      </c>
      <c r="G189" s="15">
        <f>F189/$F$206</f>
        <v>0.18055083099628105</v>
      </c>
      <c r="H189" s="11"/>
    </row>
    <row r="190" spans="2:8" ht="15.75" x14ac:dyDescent="0.25">
      <c r="B190" s="138">
        <v>45627</v>
      </c>
      <c r="C190" s="13"/>
      <c r="D190" s="14"/>
      <c r="E190" s="17">
        <v>770.58</v>
      </c>
      <c r="F190" s="14"/>
      <c r="G190" s="15"/>
      <c r="H190" s="11"/>
    </row>
    <row r="191" spans="2:8" ht="15.75" x14ac:dyDescent="0.25">
      <c r="B191" s="10" t="s">
        <v>31</v>
      </c>
      <c r="C191" s="16">
        <v>24</v>
      </c>
      <c r="D191" s="17">
        <v>0</v>
      </c>
      <c r="E191" s="17">
        <v>0</v>
      </c>
      <c r="F191" s="17">
        <f>SUM(D191:E191)</f>
        <v>0</v>
      </c>
      <c r="G191" s="18"/>
      <c r="H191" s="19" t="s">
        <v>40</v>
      </c>
    </row>
    <row r="192" spans="2:8" ht="15.75" x14ac:dyDescent="0.25">
      <c r="B192" s="10" t="s">
        <v>32</v>
      </c>
      <c r="C192" s="16">
        <v>23</v>
      </c>
      <c r="D192" s="17">
        <v>297337.68</v>
      </c>
      <c r="E192" s="17">
        <v>125237.2</v>
      </c>
      <c r="F192" s="17">
        <f t="shared" ref="F192:F193" si="23">SUM(D192:E192)</f>
        <v>422574.88</v>
      </c>
      <c r="G192" s="18"/>
      <c r="H192" s="19" t="s">
        <v>40</v>
      </c>
    </row>
    <row r="193" spans="2:8" ht="15.75" x14ac:dyDescent="0.25">
      <c r="B193" s="10" t="s">
        <v>33</v>
      </c>
      <c r="C193" s="16">
        <v>23</v>
      </c>
      <c r="D193" s="17">
        <v>148668.84</v>
      </c>
      <c r="E193" s="17">
        <v>144689.59</v>
      </c>
      <c r="F193" s="17">
        <f t="shared" si="23"/>
        <v>293358.43</v>
      </c>
      <c r="G193" s="18"/>
      <c r="H193" s="19" t="s">
        <v>40</v>
      </c>
    </row>
    <row r="194" spans="2:8" ht="15.75" x14ac:dyDescent="0.25">
      <c r="B194" s="12" t="s">
        <v>34</v>
      </c>
      <c r="C194" s="13">
        <f>SUM(C195:C197)</f>
        <v>69</v>
      </c>
      <c r="D194" s="14">
        <f t="shared" ref="D194:F194" si="24">SUM(D195:D197)</f>
        <v>446006.52</v>
      </c>
      <c r="E194" s="14">
        <f t="shared" si="24"/>
        <v>636849.80999999994</v>
      </c>
      <c r="F194" s="14">
        <f t="shared" si="24"/>
        <v>1082856.33</v>
      </c>
      <c r="G194" s="15">
        <f>F194/$F$206</f>
        <v>0.27308494729918786</v>
      </c>
      <c r="H194" s="11"/>
    </row>
    <row r="195" spans="2:8" ht="15.75" x14ac:dyDescent="0.25">
      <c r="B195" s="10" t="s">
        <v>35</v>
      </c>
      <c r="C195" s="16">
        <v>23</v>
      </c>
      <c r="D195" s="17">
        <v>148668.84</v>
      </c>
      <c r="E195" s="17">
        <v>212283.27</v>
      </c>
      <c r="F195" s="17">
        <f>SUM(D195:E195)</f>
        <v>360952.11</v>
      </c>
      <c r="G195" s="18"/>
      <c r="H195" s="19" t="s">
        <v>40</v>
      </c>
    </row>
    <row r="196" spans="2:8" ht="15.75" x14ac:dyDescent="0.25">
      <c r="B196" s="10" t="s">
        <v>36</v>
      </c>
      <c r="C196" s="16">
        <v>23</v>
      </c>
      <c r="D196" s="17">
        <v>148668.84</v>
      </c>
      <c r="E196" s="17">
        <v>212283.27</v>
      </c>
      <c r="F196" s="17">
        <f t="shared" ref="F196:F197" si="25">SUM(D196:E196)</f>
        <v>360952.11</v>
      </c>
      <c r="G196" s="18"/>
      <c r="H196" s="19" t="s">
        <v>40</v>
      </c>
    </row>
    <row r="197" spans="2:8" ht="15.75" x14ac:dyDescent="0.25">
      <c r="B197" s="10" t="s">
        <v>37</v>
      </c>
      <c r="C197" s="16">
        <v>23</v>
      </c>
      <c r="D197" s="17">
        <v>148668.84</v>
      </c>
      <c r="E197" s="17">
        <v>212283.27</v>
      </c>
      <c r="F197" s="17">
        <f t="shared" si="25"/>
        <v>360952.11</v>
      </c>
      <c r="G197" s="18"/>
      <c r="H197" s="19" t="s">
        <v>40</v>
      </c>
    </row>
    <row r="198" spans="2:8" ht="15.75" x14ac:dyDescent="0.25">
      <c r="B198" s="12" t="s">
        <v>38</v>
      </c>
      <c r="C198" s="13">
        <f>SUM(C199:C201)</f>
        <v>69</v>
      </c>
      <c r="D198" s="14">
        <f t="shared" ref="D198:F198" si="26">SUM(D199:D201)</f>
        <v>446006.52</v>
      </c>
      <c r="E198" s="14">
        <f t="shared" si="26"/>
        <v>636849.80999999994</v>
      </c>
      <c r="F198" s="14">
        <f t="shared" si="26"/>
        <v>1082856.33</v>
      </c>
      <c r="G198" s="15">
        <f>F198/$F$206</f>
        <v>0.27308494729918786</v>
      </c>
      <c r="H198" s="11"/>
    </row>
    <row r="199" spans="2:8" ht="15.75" x14ac:dyDescent="0.25">
      <c r="B199" s="10" t="s">
        <v>39</v>
      </c>
      <c r="C199" s="16">
        <v>23</v>
      </c>
      <c r="D199" s="17">
        <v>148668.84</v>
      </c>
      <c r="E199" s="17">
        <v>212283.27</v>
      </c>
      <c r="F199" s="17">
        <f>SUM(D199:E199)</f>
        <v>360952.11</v>
      </c>
      <c r="G199" s="18"/>
      <c r="H199" s="19" t="s">
        <v>40</v>
      </c>
    </row>
    <row r="200" spans="2:8" ht="15.75" x14ac:dyDescent="0.25">
      <c r="B200" s="10" t="s">
        <v>41</v>
      </c>
      <c r="C200" s="16">
        <v>23</v>
      </c>
      <c r="D200" s="17">
        <v>148668.84</v>
      </c>
      <c r="E200" s="17">
        <v>212283.27</v>
      </c>
      <c r="F200" s="17">
        <f>SUM(D200:E200)</f>
        <v>360952.11</v>
      </c>
      <c r="G200" s="18"/>
      <c r="H200" s="19" t="s">
        <v>40</v>
      </c>
    </row>
    <row r="201" spans="2:8" ht="15.75" x14ac:dyDescent="0.25">
      <c r="B201" s="10" t="s">
        <v>42</v>
      </c>
      <c r="C201" s="16">
        <v>23</v>
      </c>
      <c r="D201" s="17">
        <v>148668.84</v>
      </c>
      <c r="E201" s="17">
        <v>212283.27</v>
      </c>
      <c r="F201" s="17">
        <f>SUM(D201:E201)</f>
        <v>360952.11</v>
      </c>
      <c r="G201" s="18"/>
      <c r="H201" s="19" t="s">
        <v>40</v>
      </c>
    </row>
    <row r="202" spans="2:8" ht="15.75" x14ac:dyDescent="0.25">
      <c r="B202" s="12" t="s">
        <v>43</v>
      </c>
      <c r="C202" s="13">
        <f>SUM(C203:C205)</f>
        <v>69</v>
      </c>
      <c r="D202" s="14">
        <f t="shared" ref="D202:F202" si="27">SUM(D203:D205)</f>
        <v>446006.52</v>
      </c>
      <c r="E202" s="14">
        <f t="shared" si="27"/>
        <v>637620.37</v>
      </c>
      <c r="F202" s="14">
        <f t="shared" si="27"/>
        <v>1083626.8899999999</v>
      </c>
      <c r="G202" s="15">
        <f>F202/$F$206</f>
        <v>0.27327927440534316</v>
      </c>
      <c r="H202" s="11"/>
    </row>
    <row r="203" spans="2:8" ht="15.75" x14ac:dyDescent="0.25">
      <c r="B203" s="10" t="s">
        <v>44</v>
      </c>
      <c r="C203" s="16">
        <v>23</v>
      </c>
      <c r="D203" s="17">
        <v>148668.84</v>
      </c>
      <c r="E203" s="17">
        <v>212283.27</v>
      </c>
      <c r="F203" s="17">
        <f>SUM(D203:E203)</f>
        <v>360952.11</v>
      </c>
      <c r="G203" s="18"/>
      <c r="H203" s="19" t="s">
        <v>40</v>
      </c>
    </row>
    <row r="204" spans="2:8" ht="15.75" x14ac:dyDescent="0.25">
      <c r="B204" s="10" t="s">
        <v>45</v>
      </c>
      <c r="C204" s="16">
        <v>23</v>
      </c>
      <c r="D204" s="17">
        <v>148668.84</v>
      </c>
      <c r="E204" s="17">
        <v>212283.27</v>
      </c>
      <c r="F204" s="17">
        <f t="shared" ref="F204:F205" si="28">SUM(D204:E204)</f>
        <v>360952.11</v>
      </c>
      <c r="G204" s="18"/>
      <c r="H204" s="19" t="s">
        <v>40</v>
      </c>
    </row>
    <row r="205" spans="2:8" ht="15.75" x14ac:dyDescent="0.25">
      <c r="B205" s="10" t="s">
        <v>46</v>
      </c>
      <c r="C205" s="16">
        <v>23</v>
      </c>
      <c r="D205" s="17">
        <v>148668.84</v>
      </c>
      <c r="E205" s="17">
        <v>213053.83</v>
      </c>
      <c r="F205" s="17">
        <f t="shared" si="28"/>
        <v>361722.67</v>
      </c>
      <c r="G205" s="18"/>
      <c r="H205" s="19" t="s">
        <v>40</v>
      </c>
    </row>
    <row r="206" spans="2:8" ht="15.75" x14ac:dyDescent="0.25">
      <c r="B206" s="12" t="s">
        <v>7</v>
      </c>
      <c r="C206" s="13">
        <f>C189+C194+C198+C202</f>
        <v>277</v>
      </c>
      <c r="D206" s="14">
        <f t="shared" ref="D206:F206" si="29">D189+D194+D198+D202</f>
        <v>1784026.08</v>
      </c>
      <c r="E206" s="14">
        <f t="shared" si="29"/>
        <v>2182017.36</v>
      </c>
      <c r="F206" s="14">
        <f t="shared" si="29"/>
        <v>3965272.8600000003</v>
      </c>
      <c r="G206" s="15">
        <f>F206/$F$206</f>
        <v>1</v>
      </c>
      <c r="H206" s="11"/>
    </row>
    <row r="209" spans="2:5" ht="75.75" customHeight="1" x14ac:dyDescent="0.25">
      <c r="B209" s="220" t="s">
        <v>64</v>
      </c>
      <c r="C209" s="220"/>
      <c r="D209" s="220"/>
      <c r="E209" s="220"/>
    </row>
    <row r="210" spans="2:5" ht="47.25" x14ac:dyDescent="0.25">
      <c r="B210" s="31" t="s">
        <v>22</v>
      </c>
      <c r="C210" s="10" t="s">
        <v>60</v>
      </c>
      <c r="D210" s="10" t="s">
        <v>61</v>
      </c>
      <c r="E210" s="21" t="s">
        <v>50</v>
      </c>
    </row>
    <row r="211" spans="2:5" ht="15.75" x14ac:dyDescent="0.25">
      <c r="B211" s="12" t="s">
        <v>30</v>
      </c>
      <c r="C211" s="13">
        <f>AVERAGE(C213:C215)</f>
        <v>3</v>
      </c>
      <c r="D211" s="24">
        <f>SUM(D212:D215)</f>
        <v>87839.98</v>
      </c>
      <c r="E211" s="15">
        <f>D211/$D$228</f>
        <v>0.2307691903514707</v>
      </c>
    </row>
    <row r="212" spans="2:5" ht="15.75" x14ac:dyDescent="0.25">
      <c r="B212" s="138">
        <v>45627</v>
      </c>
      <c r="C212" s="13"/>
      <c r="D212" s="27">
        <v>29279.98</v>
      </c>
      <c r="E212" s="15"/>
    </row>
    <row r="213" spans="2:5" ht="15.75" x14ac:dyDescent="0.25">
      <c r="B213" s="10" t="s">
        <v>31</v>
      </c>
      <c r="C213" s="16">
        <v>3</v>
      </c>
      <c r="D213" s="27">
        <v>0</v>
      </c>
      <c r="E213" s="18"/>
    </row>
    <row r="214" spans="2:5" ht="15.75" x14ac:dyDescent="0.25">
      <c r="B214" s="10" t="s">
        <v>32</v>
      </c>
      <c r="C214" s="16">
        <v>3</v>
      </c>
      <c r="D214" s="27">
        <f t="shared" ref="D214:D226" si="30">C214*9760</f>
        <v>29280</v>
      </c>
      <c r="E214" s="18"/>
    </row>
    <row r="215" spans="2:5" ht="15.75" x14ac:dyDescent="0.25">
      <c r="B215" s="10" t="s">
        <v>33</v>
      </c>
      <c r="C215" s="16">
        <v>3</v>
      </c>
      <c r="D215" s="27">
        <f t="shared" si="30"/>
        <v>29280</v>
      </c>
      <c r="E215" s="18"/>
    </row>
    <row r="216" spans="2:5" ht="15.75" x14ac:dyDescent="0.25">
      <c r="B216" s="12" t="s">
        <v>34</v>
      </c>
      <c r="C216" s="13">
        <f>AVERAGE(C217:C219)</f>
        <v>3</v>
      </c>
      <c r="D216" s="24">
        <f>SUM(D217:D219)</f>
        <v>87840</v>
      </c>
      <c r="E216" s="15">
        <f>D216/$D$228</f>
        <v>0.2307692428945588</v>
      </c>
    </row>
    <row r="217" spans="2:5" ht="15.75" x14ac:dyDescent="0.25">
      <c r="B217" s="10" t="s">
        <v>35</v>
      </c>
      <c r="C217" s="16">
        <v>3</v>
      </c>
      <c r="D217" s="27">
        <f t="shared" si="30"/>
        <v>29280</v>
      </c>
      <c r="E217" s="18"/>
    </row>
    <row r="218" spans="2:5" ht="15.75" x14ac:dyDescent="0.25">
      <c r="B218" s="10" t="s">
        <v>36</v>
      </c>
      <c r="C218" s="16">
        <v>3</v>
      </c>
      <c r="D218" s="27">
        <f t="shared" si="30"/>
        <v>29280</v>
      </c>
      <c r="E218" s="18"/>
    </row>
    <row r="219" spans="2:5" ht="15.75" x14ac:dyDescent="0.25">
      <c r="B219" s="10" t="s">
        <v>37</v>
      </c>
      <c r="C219" s="16">
        <v>3</v>
      </c>
      <c r="D219" s="27">
        <f t="shared" si="30"/>
        <v>29280</v>
      </c>
      <c r="E219" s="18"/>
    </row>
    <row r="220" spans="2:5" ht="15.75" x14ac:dyDescent="0.25">
      <c r="B220" s="12" t="s">
        <v>38</v>
      </c>
      <c r="C220" s="13">
        <f>AVERAGE(C221:C223)</f>
        <v>3</v>
      </c>
      <c r="D220" s="24">
        <f>SUM(D221:D223)</f>
        <v>87840</v>
      </c>
      <c r="E220" s="15">
        <f>D220/$D$228</f>
        <v>0.2307692428945588</v>
      </c>
    </row>
    <row r="221" spans="2:5" ht="15.75" x14ac:dyDescent="0.25">
      <c r="B221" s="10" t="s">
        <v>39</v>
      </c>
      <c r="C221" s="16">
        <v>3</v>
      </c>
      <c r="D221" s="27">
        <f t="shared" si="30"/>
        <v>29280</v>
      </c>
      <c r="E221" s="18"/>
    </row>
    <row r="222" spans="2:5" ht="15.75" x14ac:dyDescent="0.25">
      <c r="B222" s="10" t="s">
        <v>41</v>
      </c>
      <c r="C222" s="16">
        <v>3</v>
      </c>
      <c r="D222" s="27">
        <f t="shared" si="30"/>
        <v>29280</v>
      </c>
      <c r="E222" s="18"/>
    </row>
    <row r="223" spans="2:5" ht="15.75" x14ac:dyDescent="0.25">
      <c r="B223" s="10" t="s">
        <v>42</v>
      </c>
      <c r="C223" s="16">
        <v>3</v>
      </c>
      <c r="D223" s="27">
        <f t="shared" si="30"/>
        <v>29280</v>
      </c>
      <c r="E223" s="18"/>
    </row>
    <row r="224" spans="2:5" ht="15.75" x14ac:dyDescent="0.25">
      <c r="B224" s="12" t="s">
        <v>43</v>
      </c>
      <c r="C224" s="13">
        <f>AVERAGE(C225:C227)</f>
        <v>3</v>
      </c>
      <c r="D224" s="24">
        <f>SUM(D225:D227)</f>
        <v>117120</v>
      </c>
      <c r="E224" s="15">
        <f>D224/$D$228</f>
        <v>0.30769232385941175</v>
      </c>
    </row>
    <row r="225" spans="2:5" ht="15.75" x14ac:dyDescent="0.25">
      <c r="B225" s="10" t="s">
        <v>44</v>
      </c>
      <c r="C225" s="16">
        <v>3</v>
      </c>
      <c r="D225" s="27">
        <f t="shared" si="30"/>
        <v>29280</v>
      </c>
      <c r="E225" s="18"/>
    </row>
    <row r="226" spans="2:5" ht="15.75" x14ac:dyDescent="0.25">
      <c r="B226" s="10" t="s">
        <v>45</v>
      </c>
      <c r="C226" s="16">
        <v>3</v>
      </c>
      <c r="D226" s="27">
        <f t="shared" si="30"/>
        <v>29280</v>
      </c>
      <c r="E226" s="18"/>
    </row>
    <row r="227" spans="2:5" ht="15.75" x14ac:dyDescent="0.25">
      <c r="B227" s="10" t="s">
        <v>46</v>
      </c>
      <c r="C227" s="16">
        <v>3</v>
      </c>
      <c r="D227" s="27">
        <f>C227*9760*2</f>
        <v>58560</v>
      </c>
      <c r="E227" s="18"/>
    </row>
    <row r="228" spans="2:5" ht="15.75" x14ac:dyDescent="0.25">
      <c r="B228" s="12" t="s">
        <v>7</v>
      </c>
      <c r="C228" s="13">
        <f>AVERAGE(C211,C216,C220,C224)</f>
        <v>3</v>
      </c>
      <c r="D228" s="24">
        <f>SUM(D211,D216,D220,D224)</f>
        <v>380639.98</v>
      </c>
      <c r="E228" s="15">
        <f>D228/$D$228</f>
        <v>1</v>
      </c>
    </row>
    <row r="231" spans="2:5" ht="73.5" customHeight="1" x14ac:dyDescent="0.25">
      <c r="B231" s="220" t="s">
        <v>65</v>
      </c>
      <c r="C231" s="220"/>
      <c r="D231" s="220"/>
      <c r="E231" s="220"/>
    </row>
    <row r="232" spans="2:5" ht="47.25" x14ac:dyDescent="0.25">
      <c r="B232" s="31" t="s">
        <v>22</v>
      </c>
      <c r="C232" s="10" t="s">
        <v>60</v>
      </c>
      <c r="D232" s="10" t="s">
        <v>61</v>
      </c>
      <c r="E232" s="21" t="s">
        <v>50</v>
      </c>
    </row>
    <row r="233" spans="2:5" ht="15.75" x14ac:dyDescent="0.25">
      <c r="B233" s="12" t="s">
        <v>30</v>
      </c>
      <c r="C233" s="13">
        <f>SUM(C235:C237)</f>
        <v>246</v>
      </c>
      <c r="D233" s="24">
        <f>SUM(D234:D237)</f>
        <v>318321</v>
      </c>
      <c r="E233" s="15">
        <f>D233/$D$250</f>
        <v>9.848367422895897E-2</v>
      </c>
    </row>
    <row r="234" spans="2:5" ht="15.75" x14ac:dyDescent="0.25">
      <c r="B234" s="138">
        <v>45627</v>
      </c>
      <c r="C234" s="13"/>
      <c r="D234" s="27">
        <v>-10155</v>
      </c>
      <c r="E234" s="15"/>
    </row>
    <row r="235" spans="2:5" ht="15.75" x14ac:dyDescent="0.25">
      <c r="B235" s="10" t="s">
        <v>31</v>
      </c>
      <c r="C235" s="16">
        <v>82</v>
      </c>
      <c r="D235" s="27">
        <v>0</v>
      </c>
      <c r="E235" s="18"/>
    </row>
    <row r="236" spans="2:5" ht="15.75" x14ac:dyDescent="0.25">
      <c r="B236" s="10" t="s">
        <v>32</v>
      </c>
      <c r="C236" s="16">
        <v>82</v>
      </c>
      <c r="D236" s="27">
        <v>140397</v>
      </c>
      <c r="E236" s="18"/>
    </row>
    <row r="237" spans="2:5" ht="15.75" x14ac:dyDescent="0.25">
      <c r="B237" s="10" t="s">
        <v>33</v>
      </c>
      <c r="C237" s="16">
        <v>82</v>
      </c>
      <c r="D237" s="27">
        <v>188079</v>
      </c>
      <c r="E237" s="18"/>
    </row>
    <row r="238" spans="2:5" ht="15.75" x14ac:dyDescent="0.25">
      <c r="B238" s="12" t="s">
        <v>34</v>
      </c>
      <c r="C238" s="13">
        <f>SUM(C239:C241)</f>
        <v>246</v>
      </c>
      <c r="D238" s="24">
        <f>SUM(D239:D241)</f>
        <v>969534</v>
      </c>
      <c r="E238" s="15">
        <f>D238/$D$250</f>
        <v>0.29995906839291003</v>
      </c>
    </row>
    <row r="239" spans="2:5" ht="15.75" x14ac:dyDescent="0.25">
      <c r="B239" s="10" t="s">
        <v>35</v>
      </c>
      <c r="C239" s="16">
        <v>82</v>
      </c>
      <c r="D239" s="27">
        <v>323178</v>
      </c>
      <c r="E239" s="18"/>
    </row>
    <row r="240" spans="2:5" ht="15.75" x14ac:dyDescent="0.25">
      <c r="B240" s="10" t="s">
        <v>36</v>
      </c>
      <c r="C240" s="16">
        <v>82</v>
      </c>
      <c r="D240" s="27">
        <v>323178</v>
      </c>
      <c r="E240" s="18"/>
    </row>
    <row r="241" spans="2:5" ht="15.75" x14ac:dyDescent="0.25">
      <c r="B241" s="10" t="s">
        <v>37</v>
      </c>
      <c r="C241" s="16">
        <v>82</v>
      </c>
      <c r="D241" s="27">
        <v>323178</v>
      </c>
      <c r="E241" s="18"/>
    </row>
    <row r="242" spans="2:5" ht="15.75" x14ac:dyDescent="0.25">
      <c r="B242" s="12" t="s">
        <v>38</v>
      </c>
      <c r="C242" s="13">
        <f>SUM(C243:C245)</f>
        <v>246</v>
      </c>
      <c r="D242" s="24">
        <f>SUM(D243:D245)</f>
        <v>969534</v>
      </c>
      <c r="E242" s="15">
        <f>D242/$D$250</f>
        <v>0.29995906839291003</v>
      </c>
    </row>
    <row r="243" spans="2:5" ht="15.75" x14ac:dyDescent="0.25">
      <c r="B243" s="10" t="s">
        <v>39</v>
      </c>
      <c r="C243" s="16">
        <v>82</v>
      </c>
      <c r="D243" s="27">
        <v>323178</v>
      </c>
      <c r="E243" s="18"/>
    </row>
    <row r="244" spans="2:5" ht="15.75" x14ac:dyDescent="0.25">
      <c r="B244" s="10" t="s">
        <v>41</v>
      </c>
      <c r="C244" s="16">
        <v>82</v>
      </c>
      <c r="D244" s="27">
        <v>323178</v>
      </c>
      <c r="E244" s="18"/>
    </row>
    <row r="245" spans="2:5" ht="15.75" x14ac:dyDescent="0.25">
      <c r="B245" s="10" t="s">
        <v>42</v>
      </c>
      <c r="C245" s="16">
        <v>82</v>
      </c>
      <c r="D245" s="27">
        <v>323178</v>
      </c>
      <c r="E245" s="18"/>
    </row>
    <row r="246" spans="2:5" ht="15.75" x14ac:dyDescent="0.25">
      <c r="B246" s="12" t="s">
        <v>43</v>
      </c>
      <c r="C246" s="13">
        <f>SUM(C247:C249)</f>
        <v>246</v>
      </c>
      <c r="D246" s="24">
        <f>SUM(D247:D249)</f>
        <v>974832</v>
      </c>
      <c r="E246" s="15">
        <f>D246/$D$250</f>
        <v>0.30159818898522101</v>
      </c>
    </row>
    <row r="247" spans="2:5" ht="15.75" x14ac:dyDescent="0.25">
      <c r="B247" s="10" t="s">
        <v>44</v>
      </c>
      <c r="C247" s="16">
        <v>82</v>
      </c>
      <c r="D247" s="27">
        <v>323178</v>
      </c>
      <c r="E247" s="18"/>
    </row>
    <row r="248" spans="2:5" ht="15.75" x14ac:dyDescent="0.25">
      <c r="B248" s="10" t="s">
        <v>45</v>
      </c>
      <c r="C248" s="16">
        <v>82</v>
      </c>
      <c r="D248" s="27">
        <v>323178</v>
      </c>
      <c r="E248" s="18"/>
    </row>
    <row r="249" spans="2:5" ht="15.75" x14ac:dyDescent="0.25">
      <c r="B249" s="10" t="s">
        <v>46</v>
      </c>
      <c r="C249" s="16">
        <v>82</v>
      </c>
      <c r="D249" s="27">
        <v>328476</v>
      </c>
      <c r="E249" s="18"/>
    </row>
    <row r="250" spans="2:5" ht="15.75" x14ac:dyDescent="0.25">
      <c r="B250" s="12" t="s">
        <v>7</v>
      </c>
      <c r="C250" s="13">
        <f>SUM(C233+C238+C242+C246)</f>
        <v>984</v>
      </c>
      <c r="D250" s="24">
        <f>SUM(D233,D238,D242,D246)</f>
        <v>3232221</v>
      </c>
      <c r="E250" s="15">
        <f>D250/$D$250</f>
        <v>1</v>
      </c>
    </row>
    <row r="252" spans="2:5" ht="21.75" customHeight="1" x14ac:dyDescent="0.25"/>
    <row r="253" spans="2:5" ht="62.25" customHeight="1" x14ac:dyDescent="0.25">
      <c r="B253" s="220" t="s">
        <v>66</v>
      </c>
      <c r="C253" s="220"/>
      <c r="D253" s="220"/>
      <c r="E253" s="220"/>
    </row>
    <row r="254" spans="2:5" ht="47.25" x14ac:dyDescent="0.25">
      <c r="B254" s="31" t="s">
        <v>22</v>
      </c>
      <c r="C254" s="10" t="s">
        <v>60</v>
      </c>
      <c r="D254" s="10" t="s">
        <v>61</v>
      </c>
      <c r="E254" s="21" t="s">
        <v>50</v>
      </c>
    </row>
    <row r="255" spans="2:5" ht="15.75" x14ac:dyDescent="0.25">
      <c r="B255" s="12" t="s">
        <v>30</v>
      </c>
      <c r="C255" s="13">
        <f>SUM(C256:C258)</f>
        <v>30</v>
      </c>
      <c r="D255" s="24">
        <f>SUM(D256:D258)</f>
        <v>0</v>
      </c>
      <c r="E255" s="15">
        <f>D255/$D$271</f>
        <v>0</v>
      </c>
    </row>
    <row r="256" spans="2:5" ht="15.75" x14ac:dyDescent="0.25">
      <c r="B256" s="10" t="s">
        <v>31</v>
      </c>
      <c r="C256" s="16">
        <v>10</v>
      </c>
      <c r="D256" s="27">
        <v>0</v>
      </c>
      <c r="E256" s="18"/>
    </row>
    <row r="257" spans="2:5" ht="15.75" x14ac:dyDescent="0.25">
      <c r="B257" s="10" t="s">
        <v>32</v>
      </c>
      <c r="C257" s="16">
        <v>10</v>
      </c>
      <c r="D257" s="27">
        <v>0</v>
      </c>
      <c r="E257" s="18"/>
    </row>
    <row r="258" spans="2:5" ht="15.75" x14ac:dyDescent="0.25">
      <c r="B258" s="10" t="s">
        <v>33</v>
      </c>
      <c r="C258" s="16">
        <v>10</v>
      </c>
      <c r="D258" s="27">
        <v>0</v>
      </c>
      <c r="E258" s="18"/>
    </row>
    <row r="259" spans="2:5" ht="15.75" x14ac:dyDescent="0.25">
      <c r="B259" s="12" t="s">
        <v>34</v>
      </c>
      <c r="C259" s="13">
        <f>SUM(C260:C262)</f>
        <v>30</v>
      </c>
      <c r="D259" s="24">
        <f>SUM(D260:D262)</f>
        <v>908880</v>
      </c>
      <c r="E259" s="15">
        <f>D259/$D$271</f>
        <v>0.33333333333333331</v>
      </c>
    </row>
    <row r="260" spans="2:5" ht="15.75" x14ac:dyDescent="0.25">
      <c r="B260" s="10" t="s">
        <v>35</v>
      </c>
      <c r="C260" s="16">
        <v>10</v>
      </c>
      <c r="D260" s="27">
        <v>302960</v>
      </c>
      <c r="E260" s="18"/>
    </row>
    <row r="261" spans="2:5" ht="15.75" x14ac:dyDescent="0.25">
      <c r="B261" s="10" t="s">
        <v>36</v>
      </c>
      <c r="C261" s="16">
        <v>10</v>
      </c>
      <c r="D261" s="27">
        <v>302960</v>
      </c>
      <c r="E261" s="18"/>
    </row>
    <row r="262" spans="2:5" ht="15.75" x14ac:dyDescent="0.25">
      <c r="B262" s="10" t="s">
        <v>37</v>
      </c>
      <c r="C262" s="16">
        <v>10</v>
      </c>
      <c r="D262" s="27">
        <v>302960</v>
      </c>
      <c r="E262" s="18"/>
    </row>
    <row r="263" spans="2:5" ht="15.75" x14ac:dyDescent="0.25">
      <c r="B263" s="12" t="s">
        <v>38</v>
      </c>
      <c r="C263" s="13">
        <f>SUM(C264:C266)</f>
        <v>30</v>
      </c>
      <c r="D263" s="24">
        <f>SUM(D264:D266)</f>
        <v>908880</v>
      </c>
      <c r="E263" s="15">
        <f>D263/$D$271</f>
        <v>0.33333333333333331</v>
      </c>
    </row>
    <row r="264" spans="2:5" ht="15.75" x14ac:dyDescent="0.25">
      <c r="B264" s="10" t="s">
        <v>39</v>
      </c>
      <c r="C264" s="16">
        <v>10</v>
      </c>
      <c r="D264" s="27">
        <v>302960</v>
      </c>
      <c r="E264" s="18"/>
    </row>
    <row r="265" spans="2:5" ht="15.75" x14ac:dyDescent="0.25">
      <c r="B265" s="10" t="s">
        <v>41</v>
      </c>
      <c r="C265" s="16">
        <v>10</v>
      </c>
      <c r="D265" s="27">
        <v>302960</v>
      </c>
      <c r="E265" s="18"/>
    </row>
    <row r="266" spans="2:5" ht="15.75" x14ac:dyDescent="0.25">
      <c r="B266" s="10" t="s">
        <v>42</v>
      </c>
      <c r="C266" s="16">
        <v>10</v>
      </c>
      <c r="D266" s="27">
        <v>302960</v>
      </c>
      <c r="E266" s="18"/>
    </row>
    <row r="267" spans="2:5" ht="15.75" x14ac:dyDescent="0.25">
      <c r="B267" s="12" t="s">
        <v>43</v>
      </c>
      <c r="C267" s="13">
        <f>SUM(C268:C270)</f>
        <v>30</v>
      </c>
      <c r="D267" s="24">
        <f>SUM(D268:D270)</f>
        <v>908880</v>
      </c>
      <c r="E267" s="15">
        <f>D267/$D$271</f>
        <v>0.33333333333333331</v>
      </c>
    </row>
    <row r="268" spans="2:5" ht="15.75" x14ac:dyDescent="0.25">
      <c r="B268" s="10" t="s">
        <v>44</v>
      </c>
      <c r="C268" s="16">
        <v>10</v>
      </c>
      <c r="D268" s="27">
        <v>302960</v>
      </c>
      <c r="E268" s="18"/>
    </row>
    <row r="269" spans="2:5" ht="15.75" x14ac:dyDescent="0.25">
      <c r="B269" s="10" t="s">
        <v>45</v>
      </c>
      <c r="C269" s="16">
        <v>10</v>
      </c>
      <c r="D269" s="27">
        <v>302960</v>
      </c>
      <c r="E269" s="18"/>
    </row>
    <row r="270" spans="2:5" ht="15.75" x14ac:dyDescent="0.25">
      <c r="B270" s="10" t="s">
        <v>46</v>
      </c>
      <c r="C270" s="16">
        <v>10</v>
      </c>
      <c r="D270" s="27">
        <v>302960</v>
      </c>
      <c r="E270" s="18"/>
    </row>
    <row r="271" spans="2:5" ht="15.75" x14ac:dyDescent="0.25">
      <c r="B271" s="12" t="s">
        <v>7</v>
      </c>
      <c r="C271" s="13">
        <f>SUM(C255+C259+C263+C267)</f>
        <v>120</v>
      </c>
      <c r="D271" s="24">
        <f>SUM(D255,D259,D263,D267)</f>
        <v>2726640</v>
      </c>
      <c r="E271" s="15">
        <f>SUM(E255:E270)</f>
        <v>1</v>
      </c>
    </row>
  </sheetData>
  <mergeCells count="35">
    <mergeCell ref="B253:E253"/>
    <mergeCell ref="B231:E231"/>
    <mergeCell ref="B209:E209"/>
    <mergeCell ref="B186:G186"/>
    <mergeCell ref="B164:E164"/>
    <mergeCell ref="H46:H47"/>
    <mergeCell ref="A2:L2"/>
    <mergeCell ref="B21:G21"/>
    <mergeCell ref="B22:B23"/>
    <mergeCell ref="C22:C23"/>
    <mergeCell ref="D22:F22"/>
    <mergeCell ref="G22:G23"/>
    <mergeCell ref="H22:H23"/>
    <mergeCell ref="B45:G45"/>
    <mergeCell ref="B46:B47"/>
    <mergeCell ref="C46:C47"/>
    <mergeCell ref="D46:F46"/>
    <mergeCell ref="G46:G47"/>
    <mergeCell ref="B143:E143"/>
    <mergeCell ref="B76:I76"/>
    <mergeCell ref="B77:B78"/>
    <mergeCell ref="C77:E77"/>
    <mergeCell ref="F77:H77"/>
    <mergeCell ref="B99:I99"/>
    <mergeCell ref="B122:E122"/>
    <mergeCell ref="B68:D68"/>
    <mergeCell ref="B100:B101"/>
    <mergeCell ref="C100:E100"/>
    <mergeCell ref="F100:H100"/>
    <mergeCell ref="I100:I101"/>
    <mergeCell ref="H187:H188"/>
    <mergeCell ref="B187:B188"/>
    <mergeCell ref="C187:C188"/>
    <mergeCell ref="D187:F187"/>
    <mergeCell ref="G187:G188"/>
  </mergeCells>
  <conditionalFormatting sqref="C124:E141">
    <cfRule type="colorScale" priority="27">
      <colorScale>
        <cfvo type="num" val="0"/>
        <cfvo type="num" val="0"/>
        <color theme="4" tint="0.79998168889431442"/>
        <color theme="0"/>
      </colorScale>
    </cfRule>
  </conditionalFormatting>
  <conditionalFormatting sqref="C24:G41">
    <cfRule type="colorScale" priority="26">
      <colorScale>
        <cfvo type="num" val="0"/>
        <cfvo type="num" val="0"/>
        <color theme="4" tint="0.79998168889431442"/>
        <color theme="0"/>
      </colorScale>
    </cfRule>
  </conditionalFormatting>
  <conditionalFormatting sqref="G24:G41">
    <cfRule type="colorScale" priority="25">
      <colorScale>
        <cfvo type="percent" val="0"/>
        <cfvo type="percent" val="100"/>
        <color theme="4" tint="0.59999389629810485"/>
        <color theme="0"/>
      </colorScale>
    </cfRule>
  </conditionalFormatting>
  <conditionalFormatting sqref="C48:G65">
    <cfRule type="colorScale" priority="24">
      <colorScale>
        <cfvo type="num" val="0"/>
        <cfvo type="num" val="0"/>
        <color theme="4" tint="0.79998168889431442"/>
        <color theme="0"/>
      </colorScale>
    </cfRule>
  </conditionalFormatting>
  <conditionalFormatting sqref="G48:G65">
    <cfRule type="colorScale" priority="23">
      <colorScale>
        <cfvo type="percent" val="0"/>
        <cfvo type="percent" val="100"/>
        <color theme="4" tint="0.59999389629810485"/>
        <color theme="0"/>
      </colorScale>
    </cfRule>
  </conditionalFormatting>
  <conditionalFormatting sqref="C79:I96">
    <cfRule type="colorScale" priority="22">
      <colorScale>
        <cfvo type="num" val="0"/>
        <cfvo type="num" val="0"/>
        <color theme="4" tint="0.79998168889431442"/>
        <color theme="0"/>
      </colorScale>
    </cfRule>
  </conditionalFormatting>
  <conditionalFormatting sqref="G79:I96">
    <cfRule type="colorScale" priority="21">
      <colorScale>
        <cfvo type="percent" val="0"/>
        <cfvo type="percent" val="100"/>
        <color theme="4" tint="0.59999389629810485"/>
        <color theme="0"/>
      </colorScale>
    </cfRule>
  </conditionalFormatting>
  <conditionalFormatting sqref="H79:H96">
    <cfRule type="colorScale" priority="19">
      <colorScale>
        <cfvo type="min"/>
        <cfvo type="max"/>
        <color theme="4" tint="0.59999389629810485"/>
        <color theme="0"/>
      </colorScale>
    </cfRule>
    <cfRule type="colorScale" priority="20">
      <colorScale>
        <cfvo type="num" val="0"/>
        <cfvo type="max"/>
        <color rgb="FFFF7128"/>
        <color rgb="FFFFEF9C"/>
      </colorScale>
    </cfRule>
  </conditionalFormatting>
  <conditionalFormatting sqref="H79:H95">
    <cfRule type="colorScale" priority="18">
      <colorScale>
        <cfvo type="num" val="0"/>
        <cfvo type="num" val="0"/>
        <color theme="4" tint="0.59999389629810485"/>
        <color theme="0"/>
      </colorScale>
    </cfRule>
  </conditionalFormatting>
  <conditionalFormatting sqref="C102:I119">
    <cfRule type="colorScale" priority="17">
      <colorScale>
        <cfvo type="num" val="0"/>
        <cfvo type="num" val="0"/>
        <color theme="4" tint="0.79998168889431442"/>
        <color theme="0"/>
      </colorScale>
    </cfRule>
  </conditionalFormatting>
  <conditionalFormatting sqref="G102:I119">
    <cfRule type="colorScale" priority="16">
      <colorScale>
        <cfvo type="percent" val="0"/>
        <cfvo type="percent" val="100"/>
        <color theme="4" tint="0.59999389629810485"/>
        <color theme="0"/>
      </colorScale>
    </cfRule>
  </conditionalFormatting>
  <conditionalFormatting sqref="H102:H119">
    <cfRule type="colorScale" priority="14">
      <colorScale>
        <cfvo type="min"/>
        <cfvo type="max"/>
        <color theme="4" tint="0.59999389629810485"/>
        <color theme="0"/>
      </colorScale>
    </cfRule>
    <cfRule type="colorScale" priority="15">
      <colorScale>
        <cfvo type="num" val="0"/>
        <cfvo type="max"/>
        <color rgb="FFFF7128"/>
        <color rgb="FFFFEF9C"/>
      </colorScale>
    </cfRule>
  </conditionalFormatting>
  <conditionalFormatting sqref="H102:H118">
    <cfRule type="colorScale" priority="13">
      <colorScale>
        <cfvo type="num" val="0"/>
        <cfvo type="num" val="0"/>
        <color theme="4" tint="0.59999389629810485"/>
        <color theme="0"/>
      </colorScale>
    </cfRule>
  </conditionalFormatting>
  <conditionalFormatting sqref="E124:E141">
    <cfRule type="colorScale" priority="28">
      <colorScale>
        <cfvo type="percent" val="0"/>
        <cfvo type="percent" val="100"/>
        <color theme="4" tint="0.59999389629810485"/>
        <color theme="0"/>
      </colorScale>
    </cfRule>
  </conditionalFormatting>
  <conditionalFormatting sqref="C233:E250">
    <cfRule type="colorScale" priority="3">
      <colorScale>
        <cfvo type="num" val="0"/>
        <cfvo type="num" val="0"/>
        <color theme="4" tint="0.79998168889431442"/>
        <color theme="0"/>
      </colorScale>
    </cfRule>
  </conditionalFormatting>
  <conditionalFormatting sqref="C145:E162">
    <cfRule type="colorScale" priority="11">
      <colorScale>
        <cfvo type="num" val="0"/>
        <cfvo type="num" val="0"/>
        <color theme="4" tint="0.79998168889431442"/>
        <color theme="0"/>
      </colorScale>
    </cfRule>
  </conditionalFormatting>
  <conditionalFormatting sqref="E145:E162">
    <cfRule type="colorScale" priority="12">
      <colorScale>
        <cfvo type="percent" val="0"/>
        <cfvo type="percent" val="100"/>
        <color theme="4" tint="0.59999389629810485"/>
        <color theme="0"/>
      </colorScale>
    </cfRule>
  </conditionalFormatting>
  <conditionalFormatting sqref="C166:E183">
    <cfRule type="colorScale" priority="9">
      <colorScale>
        <cfvo type="num" val="0"/>
        <cfvo type="num" val="0"/>
        <color theme="4" tint="0.79998168889431442"/>
        <color theme="0"/>
      </colorScale>
    </cfRule>
  </conditionalFormatting>
  <conditionalFormatting sqref="E166:E183">
    <cfRule type="colorScale" priority="10">
      <colorScale>
        <cfvo type="percent" val="0"/>
        <cfvo type="percent" val="100"/>
        <color theme="4" tint="0.59999389629810485"/>
        <color theme="0"/>
      </colorScale>
    </cfRule>
  </conditionalFormatting>
  <conditionalFormatting sqref="C189:G206">
    <cfRule type="colorScale" priority="8">
      <colorScale>
        <cfvo type="num" val="0"/>
        <cfvo type="num" val="0"/>
        <color theme="4" tint="0.79998168889431442"/>
        <color theme="0"/>
      </colorScale>
    </cfRule>
  </conditionalFormatting>
  <conditionalFormatting sqref="G189:G206">
    <cfRule type="colorScale" priority="7">
      <colorScale>
        <cfvo type="percent" val="0"/>
        <cfvo type="percent" val="100"/>
        <color theme="4" tint="0.59999389629810485"/>
        <color theme="0"/>
      </colorScale>
    </cfRule>
  </conditionalFormatting>
  <conditionalFormatting sqref="C211:E228">
    <cfRule type="colorScale" priority="5">
      <colorScale>
        <cfvo type="num" val="0"/>
        <cfvo type="num" val="0"/>
        <color theme="4" tint="0.79998168889431442"/>
        <color theme="0"/>
      </colorScale>
    </cfRule>
  </conditionalFormatting>
  <conditionalFormatting sqref="E211:E228">
    <cfRule type="colorScale" priority="6">
      <colorScale>
        <cfvo type="percent" val="0"/>
        <cfvo type="percent" val="100"/>
        <color theme="4" tint="0.59999389629810485"/>
        <color theme="0"/>
      </colorScale>
    </cfRule>
  </conditionalFormatting>
  <conditionalFormatting sqref="E233:E250">
    <cfRule type="colorScale" priority="4">
      <colorScale>
        <cfvo type="percent" val="0"/>
        <cfvo type="percent" val="100"/>
        <color theme="4" tint="0.59999389629810485"/>
        <color theme="0"/>
      </colorScale>
    </cfRule>
  </conditionalFormatting>
  <conditionalFormatting sqref="C255:E271">
    <cfRule type="colorScale" priority="1">
      <colorScale>
        <cfvo type="num" val="0"/>
        <cfvo type="num" val="0"/>
        <color theme="4" tint="0.79998168889431442"/>
        <color theme="0"/>
      </colorScale>
    </cfRule>
  </conditionalFormatting>
  <conditionalFormatting sqref="E255:E271">
    <cfRule type="colorScale" priority="2">
      <colorScale>
        <cfvo type="percent" val="0"/>
        <cfvo type="percent" val="100"/>
        <color theme="4" tint="0.59999389629810485"/>
        <color theme="0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D03A-8E2A-4FCA-A8AC-21B46101A5FC}">
  <dimension ref="A2:G18"/>
  <sheetViews>
    <sheetView topLeftCell="A7" workbookViewId="0">
      <selection activeCell="C14" sqref="C14"/>
    </sheetView>
  </sheetViews>
  <sheetFormatPr defaultRowHeight="15" x14ac:dyDescent="0.25"/>
  <cols>
    <col min="1" max="1" width="5.7109375" style="44" customWidth="1"/>
    <col min="2" max="2" width="41.42578125" style="32" customWidth="1"/>
    <col min="3" max="3" width="14.42578125" style="32" customWidth="1"/>
    <col min="4" max="4" width="13.5703125" style="32" customWidth="1"/>
    <col min="5" max="5" width="14" style="32" customWidth="1"/>
    <col min="6" max="6" width="15.42578125" style="32" customWidth="1"/>
    <col min="7" max="7" width="14.28515625" style="32" customWidth="1"/>
    <col min="8" max="16384" width="9.140625" style="32"/>
  </cols>
  <sheetData>
    <row r="2" spans="1:7" ht="20.25" x14ac:dyDescent="0.3">
      <c r="A2" s="229" t="s">
        <v>67</v>
      </c>
      <c r="B2" s="229"/>
      <c r="C2" s="229"/>
      <c r="D2" s="229"/>
      <c r="E2" s="229"/>
      <c r="F2" s="229"/>
      <c r="G2" s="229"/>
    </row>
    <row r="4" spans="1:7" x14ac:dyDescent="0.25">
      <c r="A4" s="227" t="s">
        <v>68</v>
      </c>
      <c r="B4" s="228" t="s">
        <v>69</v>
      </c>
      <c r="C4" s="227" t="s">
        <v>7</v>
      </c>
      <c r="D4" s="227"/>
      <c r="E4" s="227"/>
      <c r="F4" s="227"/>
      <c r="G4" s="227"/>
    </row>
    <row r="5" spans="1:7" x14ac:dyDescent="0.25">
      <c r="A5" s="227"/>
      <c r="B5" s="228"/>
      <c r="C5" s="33" t="s">
        <v>71</v>
      </c>
      <c r="D5" s="33" t="s">
        <v>3</v>
      </c>
      <c r="E5" s="33" t="s">
        <v>4</v>
      </c>
      <c r="F5" s="33" t="s">
        <v>70</v>
      </c>
      <c r="G5" s="33" t="s">
        <v>6</v>
      </c>
    </row>
    <row r="6" spans="1:7" ht="45" x14ac:dyDescent="0.25">
      <c r="A6" s="33" t="s">
        <v>72</v>
      </c>
      <c r="B6" s="2" t="s">
        <v>73</v>
      </c>
      <c r="C6" s="34">
        <f>SUM(D6:G6)</f>
        <v>1686684</v>
      </c>
      <c r="D6" s="35">
        <v>394553</v>
      </c>
      <c r="E6" s="35">
        <v>462740</v>
      </c>
      <c r="F6" s="35">
        <v>481005</v>
      </c>
      <c r="G6" s="35">
        <v>348386</v>
      </c>
    </row>
    <row r="7" spans="1:7" x14ac:dyDescent="0.25">
      <c r="A7" s="33" t="s">
        <v>74</v>
      </c>
      <c r="B7" s="36" t="s">
        <v>75</v>
      </c>
      <c r="C7" s="34">
        <f>SUM(C8:C10)</f>
        <v>13924270.35</v>
      </c>
      <c r="D7" s="35">
        <f t="shared" ref="D7:G7" si="0">SUM(D8:D10)</f>
        <v>7578075.9000000004</v>
      </c>
      <c r="E7" s="35">
        <f t="shared" si="0"/>
        <v>2756682.85</v>
      </c>
      <c r="F7" s="35">
        <f t="shared" si="0"/>
        <v>739222.32</v>
      </c>
      <c r="G7" s="35">
        <f t="shared" si="0"/>
        <v>2850289.28</v>
      </c>
    </row>
    <row r="8" spans="1:7" ht="30" x14ac:dyDescent="0.25">
      <c r="A8" s="33" t="s">
        <v>76</v>
      </c>
      <c r="B8" s="37" t="s">
        <v>77</v>
      </c>
      <c r="C8" s="35">
        <f>SUM(D8:G8)</f>
        <v>7850450</v>
      </c>
      <c r="D8" s="35">
        <v>2384825.9</v>
      </c>
      <c r="E8" s="35">
        <v>1962612.5</v>
      </c>
      <c r="F8" s="35">
        <v>695972.32</v>
      </c>
      <c r="G8" s="35">
        <v>2807039.28</v>
      </c>
    </row>
    <row r="9" spans="1:7" ht="90" x14ac:dyDescent="0.25">
      <c r="A9" s="33" t="s">
        <v>78</v>
      </c>
      <c r="B9" s="37" t="s">
        <v>79</v>
      </c>
      <c r="C9" s="35">
        <f>SUM(D9:G9)</f>
        <v>173000</v>
      </c>
      <c r="D9" s="35">
        <v>43250</v>
      </c>
      <c r="E9" s="35">
        <v>43250</v>
      </c>
      <c r="F9" s="35">
        <v>43250</v>
      </c>
      <c r="G9" s="35">
        <v>43250</v>
      </c>
    </row>
    <row r="10" spans="1:7" ht="60" x14ac:dyDescent="0.25">
      <c r="A10" s="33" t="s">
        <v>80</v>
      </c>
      <c r="B10" s="37" t="s">
        <v>81</v>
      </c>
      <c r="C10" s="35">
        <f>SUM(D10:G10)</f>
        <v>5900820.3499999996</v>
      </c>
      <c r="D10" s="35">
        <v>5150000</v>
      </c>
      <c r="E10" s="35">
        <v>750820.35</v>
      </c>
      <c r="F10" s="35"/>
      <c r="G10" s="35"/>
    </row>
    <row r="11" spans="1:7" x14ac:dyDescent="0.25">
      <c r="A11" s="33" t="s">
        <v>82</v>
      </c>
      <c r="B11" s="36" t="s">
        <v>83</v>
      </c>
      <c r="C11" s="34">
        <f>SUM(C12:C14)</f>
        <v>271937.8</v>
      </c>
      <c r="D11" s="35">
        <f t="shared" ref="D11:G11" si="1">SUM(D12:D14)</f>
        <v>155444.21</v>
      </c>
      <c r="E11" s="35">
        <f t="shared" si="1"/>
        <v>38521.4</v>
      </c>
      <c r="F11" s="35">
        <f t="shared" si="1"/>
        <v>38752.879999999997</v>
      </c>
      <c r="G11" s="35">
        <f t="shared" si="1"/>
        <v>39219.31</v>
      </c>
    </row>
    <row r="12" spans="1:7" ht="30" x14ac:dyDescent="0.25">
      <c r="A12" s="33" t="s">
        <v>84</v>
      </c>
      <c r="B12" s="37" t="s">
        <v>85</v>
      </c>
      <c r="C12" s="35">
        <f>SUM(D12:G12)</f>
        <v>154632.65</v>
      </c>
      <c r="D12" s="35">
        <v>38139.06</v>
      </c>
      <c r="E12" s="35">
        <v>38521.4</v>
      </c>
      <c r="F12" s="35">
        <v>38752.879999999997</v>
      </c>
      <c r="G12" s="35">
        <v>39219.31</v>
      </c>
    </row>
    <row r="13" spans="1:7" ht="30" x14ac:dyDescent="0.25">
      <c r="A13" s="33" t="s">
        <v>86</v>
      </c>
      <c r="B13" s="37" t="s">
        <v>87</v>
      </c>
      <c r="C13" s="35"/>
      <c r="D13" s="35"/>
      <c r="E13" s="35"/>
      <c r="F13" s="35"/>
      <c r="G13" s="35"/>
    </row>
    <row r="14" spans="1:7" ht="90" x14ac:dyDescent="0.25">
      <c r="A14" s="33" t="s">
        <v>88</v>
      </c>
      <c r="B14" s="37" t="s">
        <v>89</v>
      </c>
      <c r="C14" s="35">
        <f>SUM(D14:G14)</f>
        <v>117305.15</v>
      </c>
      <c r="D14" s="35">
        <v>117305.15</v>
      </c>
      <c r="E14" s="35"/>
      <c r="F14" s="35"/>
      <c r="G14" s="35"/>
    </row>
    <row r="15" spans="1:7" x14ac:dyDescent="0.25">
      <c r="A15" s="33" t="s">
        <v>90</v>
      </c>
      <c r="B15" s="36" t="s">
        <v>91</v>
      </c>
      <c r="C15" s="34">
        <f>SUM(C16:C17)</f>
        <v>4001708.66</v>
      </c>
      <c r="D15" s="35">
        <f t="shared" ref="D15:G15" si="2">SUM(D16:D17)</f>
        <v>919970</v>
      </c>
      <c r="E15" s="35">
        <f t="shared" si="2"/>
        <v>953081</v>
      </c>
      <c r="F15" s="35">
        <f t="shared" si="2"/>
        <v>1033289</v>
      </c>
      <c r="G15" s="35">
        <f t="shared" si="2"/>
        <v>1095368.6600000001</v>
      </c>
    </row>
    <row r="16" spans="1:7" ht="30" x14ac:dyDescent="0.25">
      <c r="A16" s="33" t="s">
        <v>92</v>
      </c>
      <c r="B16" s="37" t="s">
        <v>93</v>
      </c>
      <c r="C16" s="35"/>
      <c r="D16" s="35"/>
      <c r="E16" s="35"/>
      <c r="F16" s="35"/>
      <c r="G16" s="35"/>
    </row>
    <row r="17" spans="1:7" x14ac:dyDescent="0.25">
      <c r="A17" s="33" t="s">
        <v>94</v>
      </c>
      <c r="B17" s="38" t="s">
        <v>95</v>
      </c>
      <c r="C17" s="35">
        <f>SUM(D17:G17)</f>
        <v>4001708.66</v>
      </c>
      <c r="D17" s="35">
        <f>[1]Видатки!H66</f>
        <v>919970</v>
      </c>
      <c r="E17" s="35">
        <f>[1]Видатки!I66</f>
        <v>953081</v>
      </c>
      <c r="F17" s="35">
        <f>[1]Видатки!J66</f>
        <v>1033289</v>
      </c>
      <c r="G17" s="35">
        <f>[1]Видатки!K66</f>
        <v>1095368.6600000001</v>
      </c>
    </row>
    <row r="18" spans="1:7" s="43" customFormat="1" x14ac:dyDescent="0.25">
      <c r="A18" s="39">
        <v>5</v>
      </c>
      <c r="B18" s="40" t="s">
        <v>96</v>
      </c>
      <c r="C18" s="41">
        <f t="shared" ref="C18:G18" si="3">SUM(C6,C7,C11,C15)</f>
        <v>19884600.810000002</v>
      </c>
      <c r="D18" s="42">
        <f t="shared" si="3"/>
        <v>9048043.1099999994</v>
      </c>
      <c r="E18" s="42">
        <f t="shared" si="3"/>
        <v>4211025.25</v>
      </c>
      <c r="F18" s="42">
        <f t="shared" si="3"/>
        <v>2292269.1999999997</v>
      </c>
      <c r="G18" s="42">
        <f t="shared" si="3"/>
        <v>4333263.25</v>
      </c>
    </row>
  </sheetData>
  <mergeCells count="4">
    <mergeCell ref="A4:A5"/>
    <mergeCell ref="B4:B5"/>
    <mergeCell ref="A2:G2"/>
    <mergeCell ref="C4:G4"/>
  </mergeCells>
  <conditionalFormatting sqref="C6:G18">
    <cfRule type="colorScale" priority="1">
      <colorScale>
        <cfvo type="num" val="0"/>
        <cfvo type="num" val="0"/>
        <color theme="4" tint="0.39997558519241921"/>
        <color theme="0"/>
      </colorScale>
    </cfRule>
    <cfRule type="colorScale" priority="2">
      <colorScale>
        <cfvo type="num" val="0"/>
        <cfvo type="num" val="0"/>
        <color theme="4" tint="0.39997558519241921"/>
        <color theme="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FAA3-3B40-47D1-91CE-7B44C7CDE422}">
  <dimension ref="A2:F46"/>
  <sheetViews>
    <sheetView topLeftCell="A25" workbookViewId="0">
      <selection activeCell="C43" sqref="C43"/>
    </sheetView>
  </sheetViews>
  <sheetFormatPr defaultRowHeight="15" x14ac:dyDescent="0.25"/>
  <cols>
    <col min="1" max="1" width="47.5703125" style="45" customWidth="1"/>
    <col min="2" max="3" width="17.28515625" style="45" customWidth="1"/>
    <col min="4" max="4" width="18.140625" style="45" customWidth="1"/>
    <col min="5" max="5" width="17.42578125" style="45" customWidth="1"/>
    <col min="6" max="6" width="17.5703125" style="45" customWidth="1"/>
    <col min="7" max="16384" width="9.140625" style="45"/>
  </cols>
  <sheetData>
    <row r="2" spans="1:6" ht="18.75" x14ac:dyDescent="0.3">
      <c r="A2" s="230" t="s">
        <v>97</v>
      </c>
      <c r="B2" s="230"/>
      <c r="C2" s="230"/>
      <c r="D2" s="230"/>
      <c r="E2" s="230"/>
      <c r="F2" s="230"/>
    </row>
    <row r="4" spans="1:6" x14ac:dyDescent="0.25">
      <c r="A4" s="231" t="s">
        <v>69</v>
      </c>
      <c r="B4" s="232" t="s">
        <v>7</v>
      </c>
      <c r="C4" s="232"/>
      <c r="D4" s="232"/>
      <c r="E4" s="232"/>
      <c r="F4" s="232"/>
    </row>
    <row r="5" spans="1:6" x14ac:dyDescent="0.25">
      <c r="A5" s="231"/>
      <c r="B5" s="46" t="s">
        <v>7</v>
      </c>
      <c r="C5" s="46" t="s">
        <v>3</v>
      </c>
      <c r="D5" s="46" t="s">
        <v>4</v>
      </c>
      <c r="E5" s="46" t="s">
        <v>5</v>
      </c>
      <c r="F5" s="46" t="s">
        <v>6</v>
      </c>
    </row>
    <row r="6" spans="1:6" s="49" customFormat="1" ht="14.25" x14ac:dyDescent="0.2">
      <c r="A6" s="47" t="s">
        <v>98</v>
      </c>
      <c r="B6" s="48">
        <f>SUM(C6:F6)</f>
        <v>83936989.070000008</v>
      </c>
      <c r="C6" s="48">
        <f>SUM(C8:C34,C39,C44)</f>
        <v>22323977.000000004</v>
      </c>
      <c r="D6" s="48">
        <f t="shared" ref="D6:F6" si="0">SUM(D8:D34,D39,D44)</f>
        <v>20734159.66</v>
      </c>
      <c r="E6" s="48">
        <f t="shared" si="0"/>
        <v>18815403.609999999</v>
      </c>
      <c r="F6" s="48">
        <f t="shared" si="0"/>
        <v>22063448.800000001</v>
      </c>
    </row>
    <row r="7" spans="1:6" ht="11.25" customHeight="1" x14ac:dyDescent="0.25"/>
    <row r="8" spans="1:6" ht="30" x14ac:dyDescent="0.25">
      <c r="A8" s="50" t="s">
        <v>99</v>
      </c>
      <c r="B8" s="51">
        <f>SUM(C8:F8)</f>
        <v>3352470.87</v>
      </c>
      <c r="C8" s="51">
        <f>'Доходи НСЗУ'!D5</f>
        <v>959914.75</v>
      </c>
      <c r="D8" s="51">
        <f>'Доходи НСЗУ'!E5</f>
        <v>826972.23</v>
      </c>
      <c r="E8" s="51">
        <f>'Доходи НСЗУ'!F5</f>
        <v>826972.23</v>
      </c>
      <c r="F8" s="51">
        <f>'Доходи НСЗУ'!G5</f>
        <v>738611.65999999992</v>
      </c>
    </row>
    <row r="10" spans="1:6" ht="30" x14ac:dyDescent="0.25">
      <c r="A10" s="50" t="s">
        <v>100</v>
      </c>
      <c r="B10" s="51">
        <f>SUM(C10:F10)</f>
        <v>30413681.029999997</v>
      </c>
      <c r="C10" s="51">
        <f>'Доходи НСЗУ'!D6</f>
        <v>6440859.9299999997</v>
      </c>
      <c r="D10" s="51">
        <f>'Доходи НСЗУ'!E6</f>
        <v>7599451.1999999993</v>
      </c>
      <c r="E10" s="51">
        <f>'Доходи НСЗУ'!F6</f>
        <v>7599451.1999999993</v>
      </c>
      <c r="F10" s="51">
        <f>'Доходи НСЗУ'!G6</f>
        <v>8773918.6999999993</v>
      </c>
    </row>
    <row r="11" spans="1:6" ht="12.75" customHeight="1" x14ac:dyDescent="0.25"/>
    <row r="12" spans="1:6" ht="30" x14ac:dyDescent="0.25">
      <c r="A12" s="50" t="s">
        <v>101</v>
      </c>
      <c r="B12" s="51">
        <f>SUM(C12:F12)</f>
        <v>17696298.48</v>
      </c>
      <c r="C12" s="51">
        <f>'Доходи НСЗУ'!D7</f>
        <v>4424074.62</v>
      </c>
      <c r="D12" s="51">
        <f>'Доходи НСЗУ'!E7</f>
        <v>4424074.62</v>
      </c>
      <c r="E12" s="51">
        <f>'Доходи НСЗУ'!F7</f>
        <v>4424074.62</v>
      </c>
      <c r="F12" s="51">
        <f>'Доходи НСЗУ'!G7</f>
        <v>4424074.62</v>
      </c>
    </row>
    <row r="13" spans="1:6" ht="12" customHeight="1" x14ac:dyDescent="0.25"/>
    <row r="14" spans="1:6" x14ac:dyDescent="0.25">
      <c r="A14" s="50" t="s">
        <v>102</v>
      </c>
      <c r="B14" s="51">
        <f>SUM(C14:F14)</f>
        <v>48215.56</v>
      </c>
      <c r="C14" s="51">
        <f>'Доходи НСЗУ'!D8</f>
        <v>22659.4</v>
      </c>
      <c r="D14" s="51">
        <f>'Доходи НСЗУ'!E8</f>
        <v>10952.64</v>
      </c>
      <c r="E14" s="51">
        <f>'Доходи НСЗУ'!F8</f>
        <v>10952.64</v>
      </c>
      <c r="F14" s="51">
        <f>'Доходи НСЗУ'!G8</f>
        <v>3650.88</v>
      </c>
    </row>
    <row r="15" spans="1:6" ht="12" customHeight="1" x14ac:dyDescent="0.25"/>
    <row r="16" spans="1:6" x14ac:dyDescent="0.25">
      <c r="A16" s="50" t="s">
        <v>103</v>
      </c>
      <c r="B16" s="51">
        <f>SUM(C16:F16)</f>
        <v>111470.64000000001</v>
      </c>
      <c r="C16" s="51">
        <f>'Доходи НСЗУ'!D9</f>
        <v>53282.8</v>
      </c>
      <c r="D16" s="51">
        <f>'Доходи НСЗУ'!E9</f>
        <v>24149.16</v>
      </c>
      <c r="E16" s="51">
        <f>'Доходи НСЗУ'!F9</f>
        <v>24149.16</v>
      </c>
      <c r="F16" s="51">
        <f>'Доходи НСЗУ'!G9</f>
        <v>9889.52</v>
      </c>
    </row>
    <row r="17" spans="1:6" ht="12.75" customHeight="1" x14ac:dyDescent="0.25"/>
    <row r="18" spans="1:6" ht="30" x14ac:dyDescent="0.25">
      <c r="A18" s="50" t="s">
        <v>104</v>
      </c>
      <c r="B18" s="51">
        <f>SUM(C18:F18)</f>
        <v>329669.64</v>
      </c>
      <c r="C18" s="51">
        <f>'Доходи НСЗУ'!D10</f>
        <v>70229.52</v>
      </c>
      <c r="D18" s="51">
        <f>'Доходи НСЗУ'!E10</f>
        <v>77729.760000000009</v>
      </c>
      <c r="E18" s="51">
        <f>'Доходи НСЗУ'!F10</f>
        <v>77729.760000000009</v>
      </c>
      <c r="F18" s="51">
        <f>'Доходи НСЗУ'!G10</f>
        <v>103980.6</v>
      </c>
    </row>
    <row r="19" spans="1:6" ht="12.75" customHeight="1" x14ac:dyDescent="0.25"/>
    <row r="20" spans="1:6" ht="30" x14ac:dyDescent="0.25">
      <c r="A20" s="50" t="s">
        <v>384</v>
      </c>
      <c r="B20" s="51">
        <f>SUM(C20:F20)</f>
        <v>1313861.08</v>
      </c>
      <c r="C20" s="51">
        <f>'Доходи НСЗУ'!D11</f>
        <v>78817.66</v>
      </c>
      <c r="D20" s="51">
        <f>'Доходи НСЗУ'!E11</f>
        <v>389683.68</v>
      </c>
      <c r="E20" s="51">
        <f>'Доходи НСЗУ'!F11</f>
        <v>389683.68</v>
      </c>
      <c r="F20" s="51">
        <f>'Доходи НСЗУ'!G11</f>
        <v>455676.06</v>
      </c>
    </row>
    <row r="21" spans="1:6" ht="11.25" customHeight="1" x14ac:dyDescent="0.25"/>
    <row r="22" spans="1:6" x14ac:dyDescent="0.25">
      <c r="A22" s="50" t="s">
        <v>105</v>
      </c>
      <c r="B22" s="51">
        <f>SUM(C22:F22)</f>
        <v>481947.12</v>
      </c>
      <c r="C22" s="51">
        <f>'Доходи НСЗУ'!D12</f>
        <v>104000.92</v>
      </c>
      <c r="D22" s="51">
        <f>'Доходи НСЗУ'!E12</f>
        <v>121010.79000000001</v>
      </c>
      <c r="E22" s="51">
        <f>'Доходи НСЗУ'!F12</f>
        <v>121010.79000000001</v>
      </c>
      <c r="F22" s="51">
        <f>'Доходи НСЗУ'!G12</f>
        <v>135924.62</v>
      </c>
    </row>
    <row r="23" spans="1:6" ht="12" customHeight="1" x14ac:dyDescent="0.25"/>
    <row r="24" spans="1:6" ht="30" x14ac:dyDescent="0.25">
      <c r="A24" s="50" t="s">
        <v>106</v>
      </c>
      <c r="B24" s="51">
        <f>SUM(C24:F24)</f>
        <v>3965272.8600000003</v>
      </c>
      <c r="C24" s="51">
        <f>'Доходи НСЗУ'!D13</f>
        <v>715933.31</v>
      </c>
      <c r="D24" s="51">
        <f>'Доходи НСЗУ'!E13</f>
        <v>1082856.33</v>
      </c>
      <c r="E24" s="51">
        <f>'Доходи НСЗУ'!F13</f>
        <v>1082856.33</v>
      </c>
      <c r="F24" s="51">
        <f>'Доходи НСЗУ'!G13</f>
        <v>1083626.8899999999</v>
      </c>
    </row>
    <row r="25" spans="1:6" ht="12.75" customHeight="1" x14ac:dyDescent="0.25"/>
    <row r="26" spans="1:6" ht="45" x14ac:dyDescent="0.25">
      <c r="A26" s="50" t="s">
        <v>107</v>
      </c>
      <c r="B26" s="51">
        <f>SUM(C26:F26)</f>
        <v>380639.98</v>
      </c>
      <c r="C26" s="51">
        <f>'Доходи НСЗУ'!D14</f>
        <v>87839.98</v>
      </c>
      <c r="D26" s="51">
        <f>'Доходи НСЗУ'!E14</f>
        <v>87840</v>
      </c>
      <c r="E26" s="51">
        <f>'Доходи НСЗУ'!F14</f>
        <v>87840</v>
      </c>
      <c r="F26" s="51">
        <f>'Доходи НСЗУ'!G14</f>
        <v>117120</v>
      </c>
    </row>
    <row r="27" spans="1:6" ht="13.5" customHeight="1" x14ac:dyDescent="0.25"/>
    <row r="28" spans="1:6" ht="45" x14ac:dyDescent="0.25">
      <c r="A28" s="50" t="s">
        <v>108</v>
      </c>
      <c r="B28" s="51">
        <f>SUM(C28:F28)</f>
        <v>3232221</v>
      </c>
      <c r="C28" s="51">
        <f>'Доходи НСЗУ'!D15</f>
        <v>318321</v>
      </c>
      <c r="D28" s="51">
        <f>'Доходи НСЗУ'!E15</f>
        <v>969534</v>
      </c>
      <c r="E28" s="51">
        <f>'Доходи НСЗУ'!F15</f>
        <v>969534</v>
      </c>
      <c r="F28" s="51">
        <f>'Доходи НСЗУ'!G15</f>
        <v>974832</v>
      </c>
    </row>
    <row r="29" spans="1:6" ht="14.25" customHeight="1" x14ac:dyDescent="0.25"/>
    <row r="30" spans="1:6" ht="30" x14ac:dyDescent="0.25">
      <c r="A30" s="50" t="s">
        <v>109</v>
      </c>
      <c r="B30" s="51">
        <f>SUM(C30:F30)</f>
        <v>2726640</v>
      </c>
      <c r="C30" s="51">
        <f>'Доходи НСЗУ'!D16</f>
        <v>0</v>
      </c>
      <c r="D30" s="51">
        <f>'Доходи НСЗУ'!E16</f>
        <v>908880</v>
      </c>
      <c r="E30" s="51">
        <f>'Доходи НСЗУ'!F16</f>
        <v>908880</v>
      </c>
      <c r="F30" s="51">
        <f>'Доходи НСЗУ'!G16</f>
        <v>908880</v>
      </c>
    </row>
    <row r="31" spans="1:6" ht="14.25" customHeight="1" x14ac:dyDescent="0.25"/>
    <row r="32" spans="1:6" ht="30" x14ac:dyDescent="0.25">
      <c r="A32" s="50" t="s">
        <v>73</v>
      </c>
      <c r="B32" s="51">
        <f>SUM(C32:F32)</f>
        <v>1686684</v>
      </c>
      <c r="C32" s="51">
        <f>'Інші доходи'!D6</f>
        <v>394553</v>
      </c>
      <c r="D32" s="51">
        <f>'Інші доходи'!E6</f>
        <v>462740</v>
      </c>
      <c r="E32" s="51">
        <f>'Інші доходи'!F6</f>
        <v>481005</v>
      </c>
      <c r="F32" s="51">
        <f>'Інші доходи'!G6</f>
        <v>348386</v>
      </c>
    </row>
    <row r="33" spans="1:6" ht="12.75" customHeight="1" x14ac:dyDescent="0.25"/>
    <row r="34" spans="1:6" x14ac:dyDescent="0.25">
      <c r="A34" s="51" t="s">
        <v>75</v>
      </c>
      <c r="B34" s="51">
        <f>SUM(B35:B37)</f>
        <v>13924270.35</v>
      </c>
      <c r="C34" s="51">
        <f t="shared" ref="C34:F34" si="1">SUM(C35:C37)</f>
        <v>7578075.9000000004</v>
      </c>
      <c r="D34" s="51">
        <f t="shared" si="1"/>
        <v>2756682.85</v>
      </c>
      <c r="E34" s="51">
        <f t="shared" si="1"/>
        <v>739222.32</v>
      </c>
      <c r="F34" s="51">
        <f t="shared" si="1"/>
        <v>2850289.28</v>
      </c>
    </row>
    <row r="35" spans="1:6" ht="30" x14ac:dyDescent="0.25">
      <c r="A35" s="52" t="s">
        <v>77</v>
      </c>
      <c r="B35" s="53">
        <f>SUM(C35:F35)</f>
        <v>7850450</v>
      </c>
      <c r="C35" s="53">
        <f>'Інші доходи'!D8</f>
        <v>2384825.9</v>
      </c>
      <c r="D35" s="53">
        <f>'Інші доходи'!E8</f>
        <v>1962612.5</v>
      </c>
      <c r="E35" s="53">
        <f>'Інші доходи'!F8</f>
        <v>695972.32</v>
      </c>
      <c r="F35" s="53">
        <f>'Інші доходи'!G8</f>
        <v>2807039.28</v>
      </c>
    </row>
    <row r="36" spans="1:6" ht="60" x14ac:dyDescent="0.25">
      <c r="A36" s="52" t="s">
        <v>79</v>
      </c>
      <c r="B36" s="53">
        <f t="shared" ref="B36:B37" si="2">SUM(C36:F36)</f>
        <v>173000</v>
      </c>
      <c r="C36" s="53">
        <f>'Інші доходи'!D9</f>
        <v>43250</v>
      </c>
      <c r="D36" s="53">
        <f>'Інші доходи'!E9</f>
        <v>43250</v>
      </c>
      <c r="E36" s="53">
        <f>'Інші доходи'!F9</f>
        <v>43250</v>
      </c>
      <c r="F36" s="53">
        <f>'Інші доходи'!G9</f>
        <v>43250</v>
      </c>
    </row>
    <row r="37" spans="1:6" ht="42.75" customHeight="1" x14ac:dyDescent="0.25">
      <c r="A37" s="52" t="s">
        <v>81</v>
      </c>
      <c r="B37" s="53">
        <f t="shared" si="2"/>
        <v>5900820.3499999996</v>
      </c>
      <c r="C37" s="53">
        <f>'Інші доходи'!D10</f>
        <v>5150000</v>
      </c>
      <c r="D37" s="53">
        <f>'Інші доходи'!E10</f>
        <v>750820.35</v>
      </c>
      <c r="E37" s="53">
        <f>'Інші доходи'!F10</f>
        <v>0</v>
      </c>
      <c r="F37" s="53">
        <f>'Інші доходи'!G10</f>
        <v>0</v>
      </c>
    </row>
    <row r="38" spans="1:6" ht="12.75" customHeight="1" x14ac:dyDescent="0.25"/>
    <row r="39" spans="1:6" x14ac:dyDescent="0.25">
      <c r="A39" s="51" t="s">
        <v>83</v>
      </c>
      <c r="B39" s="51">
        <f>SUM(B40:B42)</f>
        <v>271937.8</v>
      </c>
      <c r="C39" s="51">
        <f t="shared" ref="C39:F39" si="3">SUM(C40:C42)</f>
        <v>155444.21</v>
      </c>
      <c r="D39" s="51">
        <f t="shared" si="3"/>
        <v>38521.4</v>
      </c>
      <c r="E39" s="51">
        <f t="shared" si="3"/>
        <v>38752.879999999997</v>
      </c>
      <c r="F39" s="51">
        <f t="shared" si="3"/>
        <v>39219.31</v>
      </c>
    </row>
    <row r="40" spans="1:6" ht="30" x14ac:dyDescent="0.25">
      <c r="A40" s="52" t="s">
        <v>85</v>
      </c>
      <c r="B40" s="53">
        <f>SUM(C40:F40)</f>
        <v>154632.65</v>
      </c>
      <c r="C40" s="53">
        <f>'Інші доходи'!D12</f>
        <v>38139.06</v>
      </c>
      <c r="D40" s="53">
        <f>'Інші доходи'!E12</f>
        <v>38521.4</v>
      </c>
      <c r="E40" s="53">
        <f>'Інші доходи'!F12</f>
        <v>38752.879999999997</v>
      </c>
      <c r="F40" s="53">
        <f>'Інші доходи'!G12</f>
        <v>39219.31</v>
      </c>
    </row>
    <row r="41" spans="1:6" ht="30" x14ac:dyDescent="0.25">
      <c r="A41" s="52" t="s">
        <v>87</v>
      </c>
      <c r="B41" s="53">
        <f t="shared" ref="B41:B42" si="4">SUM(C41:F41)</f>
        <v>0</v>
      </c>
      <c r="C41" s="53"/>
      <c r="D41" s="53"/>
      <c r="E41" s="53"/>
      <c r="F41" s="53"/>
    </row>
    <row r="42" spans="1:6" ht="68.25" customHeight="1" x14ac:dyDescent="0.25">
      <c r="A42" s="52" t="s">
        <v>89</v>
      </c>
      <c r="B42" s="53">
        <f t="shared" si="4"/>
        <v>117305.15</v>
      </c>
      <c r="C42" s="53">
        <f>'Інші доходи'!D14</f>
        <v>117305.15</v>
      </c>
      <c r="D42" s="53">
        <f>'[1]Інші доходи'!J14</f>
        <v>0</v>
      </c>
      <c r="E42" s="53">
        <f>'[1]Інші доходи'!K14</f>
        <v>0</v>
      </c>
      <c r="F42" s="53">
        <f>'[1]Інші доходи'!L14</f>
        <v>0</v>
      </c>
    </row>
    <row r="43" spans="1:6" ht="10.5" customHeight="1" x14ac:dyDescent="0.25"/>
    <row r="44" spans="1:6" x14ac:dyDescent="0.25">
      <c r="A44" s="51" t="s">
        <v>91</v>
      </c>
      <c r="B44" s="51">
        <f>SUM(B45:B46)</f>
        <v>4001708.66</v>
      </c>
      <c r="C44" s="51">
        <f t="shared" ref="C44:F44" si="5">SUM(C45:C46)</f>
        <v>919970</v>
      </c>
      <c r="D44" s="51">
        <f t="shared" si="5"/>
        <v>953081</v>
      </c>
      <c r="E44" s="51">
        <f t="shared" si="5"/>
        <v>1033289</v>
      </c>
      <c r="F44" s="51">
        <f t="shared" si="5"/>
        <v>1095368.6600000001</v>
      </c>
    </row>
    <row r="45" spans="1:6" x14ac:dyDescent="0.25">
      <c r="A45" s="52" t="s">
        <v>93</v>
      </c>
      <c r="B45" s="53">
        <f>SUM(C45:F45)</f>
        <v>0</v>
      </c>
      <c r="C45" s="53">
        <f>'[1]Інші доходи'!I16</f>
        <v>0</v>
      </c>
      <c r="D45" s="53">
        <f>'[1]Інші доходи'!J16</f>
        <v>0</v>
      </c>
      <c r="E45" s="53">
        <f>'[1]Інші доходи'!K16</f>
        <v>0</v>
      </c>
      <c r="F45" s="53">
        <f>'[1]Інші доходи'!L16</f>
        <v>0</v>
      </c>
    </row>
    <row r="46" spans="1:6" ht="15.75" customHeight="1" x14ac:dyDescent="0.25">
      <c r="A46" s="54" t="s">
        <v>95</v>
      </c>
      <c r="B46" s="53">
        <f>SUM(C46:F46)</f>
        <v>4001708.66</v>
      </c>
      <c r="C46" s="53">
        <f>'Інші доходи'!D15</f>
        <v>919970</v>
      </c>
      <c r="D46" s="53">
        <f>'Інші доходи'!E15</f>
        <v>953081</v>
      </c>
      <c r="E46" s="53">
        <f>'Інші доходи'!F15</f>
        <v>1033289</v>
      </c>
      <c r="F46" s="53">
        <f>'Інші доходи'!G15</f>
        <v>1095368.6600000001</v>
      </c>
    </row>
  </sheetData>
  <mergeCells count="3">
    <mergeCell ref="A2:F2"/>
    <mergeCell ref="A4:A5"/>
    <mergeCell ref="B4:F4"/>
  </mergeCells>
  <pageMargins left="0.52" right="0.26" top="0.28999999999999998" bottom="0.28999999999999998" header="0.18" footer="0.2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4137-32A0-4CAA-9F40-81114A1A6DB8}">
  <dimension ref="A1:N40"/>
  <sheetViews>
    <sheetView topLeftCell="A10" workbookViewId="0">
      <selection activeCell="C32" sqref="C32:D32"/>
    </sheetView>
  </sheetViews>
  <sheetFormatPr defaultRowHeight="15" x14ac:dyDescent="0.25"/>
  <cols>
    <col min="1" max="1" width="36.42578125" style="56" customWidth="1"/>
    <col min="2" max="3" width="9.7109375" style="56" customWidth="1"/>
    <col min="4" max="4" width="8.42578125" style="56" customWidth="1"/>
    <col min="5" max="5" width="8.7109375" style="56" customWidth="1"/>
    <col min="6" max="6" width="15.28515625" style="56" customWidth="1"/>
    <col min="7" max="7" width="9" style="56" customWidth="1"/>
    <col min="8" max="8" width="9.85546875" style="56" customWidth="1"/>
    <col min="9" max="9" width="9.140625" style="56"/>
    <col min="10" max="10" width="10" style="56" customWidth="1"/>
    <col min="11" max="11" width="13.7109375" style="56" customWidth="1"/>
    <col min="12" max="12" width="13.28515625" style="56" customWidth="1"/>
    <col min="13" max="13" width="9.140625" style="56"/>
    <col min="14" max="14" width="14.7109375" style="56" bestFit="1" customWidth="1"/>
    <col min="15" max="256" width="9.140625" style="56"/>
    <col min="257" max="257" width="35.28515625" style="56" customWidth="1"/>
    <col min="258" max="259" width="9.7109375" style="56" customWidth="1"/>
    <col min="260" max="260" width="8.140625" style="56" customWidth="1"/>
    <col min="261" max="261" width="8.7109375" style="56" customWidth="1"/>
    <col min="262" max="262" width="17" style="56" customWidth="1"/>
    <col min="263" max="263" width="10.140625" style="56" customWidth="1"/>
    <col min="264" max="264" width="9.85546875" style="56" customWidth="1"/>
    <col min="265" max="265" width="9.140625" style="56"/>
    <col min="266" max="266" width="10" style="56" customWidth="1"/>
    <col min="267" max="267" width="16.28515625" style="56" customWidth="1"/>
    <col min="268" max="268" width="13.28515625" style="56" customWidth="1"/>
    <col min="269" max="269" width="9.140625" style="56"/>
    <col min="270" max="270" width="14.7109375" style="56" bestFit="1" customWidth="1"/>
    <col min="271" max="512" width="9.140625" style="56"/>
    <col min="513" max="513" width="35.28515625" style="56" customWidth="1"/>
    <col min="514" max="515" width="9.7109375" style="56" customWidth="1"/>
    <col min="516" max="516" width="8.140625" style="56" customWidth="1"/>
    <col min="517" max="517" width="8.7109375" style="56" customWidth="1"/>
    <col min="518" max="518" width="17" style="56" customWidth="1"/>
    <col min="519" max="519" width="10.140625" style="56" customWidth="1"/>
    <col min="520" max="520" width="9.85546875" style="56" customWidth="1"/>
    <col min="521" max="521" width="9.140625" style="56"/>
    <col min="522" max="522" width="10" style="56" customWidth="1"/>
    <col min="523" max="523" width="16.28515625" style="56" customWidth="1"/>
    <col min="524" max="524" width="13.28515625" style="56" customWidth="1"/>
    <col min="525" max="525" width="9.140625" style="56"/>
    <col min="526" max="526" width="14.7109375" style="56" bestFit="1" customWidth="1"/>
    <col min="527" max="768" width="9.140625" style="56"/>
    <col min="769" max="769" width="35.28515625" style="56" customWidth="1"/>
    <col min="770" max="771" width="9.7109375" style="56" customWidth="1"/>
    <col min="772" max="772" width="8.140625" style="56" customWidth="1"/>
    <col min="773" max="773" width="8.7109375" style="56" customWidth="1"/>
    <col min="774" max="774" width="17" style="56" customWidth="1"/>
    <col min="775" max="775" width="10.140625" style="56" customWidth="1"/>
    <col min="776" max="776" width="9.85546875" style="56" customWidth="1"/>
    <col min="777" max="777" width="9.140625" style="56"/>
    <col min="778" max="778" width="10" style="56" customWidth="1"/>
    <col min="779" max="779" width="16.28515625" style="56" customWidth="1"/>
    <col min="780" max="780" width="13.28515625" style="56" customWidth="1"/>
    <col min="781" max="781" width="9.140625" style="56"/>
    <col min="782" max="782" width="14.7109375" style="56" bestFit="1" customWidth="1"/>
    <col min="783" max="1024" width="9.140625" style="56"/>
    <col min="1025" max="1025" width="35.28515625" style="56" customWidth="1"/>
    <col min="1026" max="1027" width="9.7109375" style="56" customWidth="1"/>
    <col min="1028" max="1028" width="8.140625" style="56" customWidth="1"/>
    <col min="1029" max="1029" width="8.7109375" style="56" customWidth="1"/>
    <col min="1030" max="1030" width="17" style="56" customWidth="1"/>
    <col min="1031" max="1031" width="10.140625" style="56" customWidth="1"/>
    <col min="1032" max="1032" width="9.85546875" style="56" customWidth="1"/>
    <col min="1033" max="1033" width="9.140625" style="56"/>
    <col min="1034" max="1034" width="10" style="56" customWidth="1"/>
    <col min="1035" max="1035" width="16.28515625" style="56" customWidth="1"/>
    <col min="1036" max="1036" width="13.28515625" style="56" customWidth="1"/>
    <col min="1037" max="1037" width="9.140625" style="56"/>
    <col min="1038" max="1038" width="14.7109375" style="56" bestFit="1" customWidth="1"/>
    <col min="1039" max="1280" width="9.140625" style="56"/>
    <col min="1281" max="1281" width="35.28515625" style="56" customWidth="1"/>
    <col min="1282" max="1283" width="9.7109375" style="56" customWidth="1"/>
    <col min="1284" max="1284" width="8.140625" style="56" customWidth="1"/>
    <col min="1285" max="1285" width="8.7109375" style="56" customWidth="1"/>
    <col min="1286" max="1286" width="17" style="56" customWidth="1"/>
    <col min="1287" max="1287" width="10.140625" style="56" customWidth="1"/>
    <col min="1288" max="1288" width="9.85546875" style="56" customWidth="1"/>
    <col min="1289" max="1289" width="9.140625" style="56"/>
    <col min="1290" max="1290" width="10" style="56" customWidth="1"/>
    <col min="1291" max="1291" width="16.28515625" style="56" customWidth="1"/>
    <col min="1292" max="1292" width="13.28515625" style="56" customWidth="1"/>
    <col min="1293" max="1293" width="9.140625" style="56"/>
    <col min="1294" max="1294" width="14.7109375" style="56" bestFit="1" customWidth="1"/>
    <col min="1295" max="1536" width="9.140625" style="56"/>
    <col min="1537" max="1537" width="35.28515625" style="56" customWidth="1"/>
    <col min="1538" max="1539" width="9.7109375" style="56" customWidth="1"/>
    <col min="1540" max="1540" width="8.140625" style="56" customWidth="1"/>
    <col min="1541" max="1541" width="8.7109375" style="56" customWidth="1"/>
    <col min="1542" max="1542" width="17" style="56" customWidth="1"/>
    <col min="1543" max="1543" width="10.140625" style="56" customWidth="1"/>
    <col min="1544" max="1544" width="9.85546875" style="56" customWidth="1"/>
    <col min="1545" max="1545" width="9.140625" style="56"/>
    <col min="1546" max="1546" width="10" style="56" customWidth="1"/>
    <col min="1547" max="1547" width="16.28515625" style="56" customWidth="1"/>
    <col min="1548" max="1548" width="13.28515625" style="56" customWidth="1"/>
    <col min="1549" max="1549" width="9.140625" style="56"/>
    <col min="1550" max="1550" width="14.7109375" style="56" bestFit="1" customWidth="1"/>
    <col min="1551" max="1792" width="9.140625" style="56"/>
    <col min="1793" max="1793" width="35.28515625" style="56" customWidth="1"/>
    <col min="1794" max="1795" width="9.7109375" style="56" customWidth="1"/>
    <col min="1796" max="1796" width="8.140625" style="56" customWidth="1"/>
    <col min="1797" max="1797" width="8.7109375" style="56" customWidth="1"/>
    <col min="1798" max="1798" width="17" style="56" customWidth="1"/>
    <col min="1799" max="1799" width="10.140625" style="56" customWidth="1"/>
    <col min="1800" max="1800" width="9.85546875" style="56" customWidth="1"/>
    <col min="1801" max="1801" width="9.140625" style="56"/>
    <col min="1802" max="1802" width="10" style="56" customWidth="1"/>
    <col min="1803" max="1803" width="16.28515625" style="56" customWidth="1"/>
    <col min="1804" max="1804" width="13.28515625" style="56" customWidth="1"/>
    <col min="1805" max="1805" width="9.140625" style="56"/>
    <col min="1806" max="1806" width="14.7109375" style="56" bestFit="1" customWidth="1"/>
    <col min="1807" max="2048" width="9.140625" style="56"/>
    <col min="2049" max="2049" width="35.28515625" style="56" customWidth="1"/>
    <col min="2050" max="2051" width="9.7109375" style="56" customWidth="1"/>
    <col min="2052" max="2052" width="8.140625" style="56" customWidth="1"/>
    <col min="2053" max="2053" width="8.7109375" style="56" customWidth="1"/>
    <col min="2054" max="2054" width="17" style="56" customWidth="1"/>
    <col min="2055" max="2055" width="10.140625" style="56" customWidth="1"/>
    <col min="2056" max="2056" width="9.85546875" style="56" customWidth="1"/>
    <col min="2057" max="2057" width="9.140625" style="56"/>
    <col min="2058" max="2058" width="10" style="56" customWidth="1"/>
    <col min="2059" max="2059" width="16.28515625" style="56" customWidth="1"/>
    <col min="2060" max="2060" width="13.28515625" style="56" customWidth="1"/>
    <col min="2061" max="2061" width="9.140625" style="56"/>
    <col min="2062" max="2062" width="14.7109375" style="56" bestFit="1" customWidth="1"/>
    <col min="2063" max="2304" width="9.140625" style="56"/>
    <col min="2305" max="2305" width="35.28515625" style="56" customWidth="1"/>
    <col min="2306" max="2307" width="9.7109375" style="56" customWidth="1"/>
    <col min="2308" max="2308" width="8.140625" style="56" customWidth="1"/>
    <col min="2309" max="2309" width="8.7109375" style="56" customWidth="1"/>
    <col min="2310" max="2310" width="17" style="56" customWidth="1"/>
    <col min="2311" max="2311" width="10.140625" style="56" customWidth="1"/>
    <col min="2312" max="2312" width="9.85546875" style="56" customWidth="1"/>
    <col min="2313" max="2313" width="9.140625" style="56"/>
    <col min="2314" max="2314" width="10" style="56" customWidth="1"/>
    <col min="2315" max="2315" width="16.28515625" style="56" customWidth="1"/>
    <col min="2316" max="2316" width="13.28515625" style="56" customWidth="1"/>
    <col min="2317" max="2317" width="9.140625" style="56"/>
    <col min="2318" max="2318" width="14.7109375" style="56" bestFit="1" customWidth="1"/>
    <col min="2319" max="2560" width="9.140625" style="56"/>
    <col min="2561" max="2561" width="35.28515625" style="56" customWidth="1"/>
    <col min="2562" max="2563" width="9.7109375" style="56" customWidth="1"/>
    <col min="2564" max="2564" width="8.140625" style="56" customWidth="1"/>
    <col min="2565" max="2565" width="8.7109375" style="56" customWidth="1"/>
    <col min="2566" max="2566" width="17" style="56" customWidth="1"/>
    <col min="2567" max="2567" width="10.140625" style="56" customWidth="1"/>
    <col min="2568" max="2568" width="9.85546875" style="56" customWidth="1"/>
    <col min="2569" max="2569" width="9.140625" style="56"/>
    <col min="2570" max="2570" width="10" style="56" customWidth="1"/>
    <col min="2571" max="2571" width="16.28515625" style="56" customWidth="1"/>
    <col min="2572" max="2572" width="13.28515625" style="56" customWidth="1"/>
    <col min="2573" max="2573" width="9.140625" style="56"/>
    <col min="2574" max="2574" width="14.7109375" style="56" bestFit="1" customWidth="1"/>
    <col min="2575" max="2816" width="9.140625" style="56"/>
    <col min="2817" max="2817" width="35.28515625" style="56" customWidth="1"/>
    <col min="2818" max="2819" width="9.7109375" style="56" customWidth="1"/>
    <col min="2820" max="2820" width="8.140625" style="56" customWidth="1"/>
    <col min="2821" max="2821" width="8.7109375" style="56" customWidth="1"/>
    <col min="2822" max="2822" width="17" style="56" customWidth="1"/>
    <col min="2823" max="2823" width="10.140625" style="56" customWidth="1"/>
    <col min="2824" max="2824" width="9.85546875" style="56" customWidth="1"/>
    <col min="2825" max="2825" width="9.140625" style="56"/>
    <col min="2826" max="2826" width="10" style="56" customWidth="1"/>
    <col min="2827" max="2827" width="16.28515625" style="56" customWidth="1"/>
    <col min="2828" max="2828" width="13.28515625" style="56" customWidth="1"/>
    <col min="2829" max="2829" width="9.140625" style="56"/>
    <col min="2830" max="2830" width="14.7109375" style="56" bestFit="1" customWidth="1"/>
    <col min="2831" max="3072" width="9.140625" style="56"/>
    <col min="3073" max="3073" width="35.28515625" style="56" customWidth="1"/>
    <col min="3074" max="3075" width="9.7109375" style="56" customWidth="1"/>
    <col min="3076" max="3076" width="8.140625" style="56" customWidth="1"/>
    <col min="3077" max="3077" width="8.7109375" style="56" customWidth="1"/>
    <col min="3078" max="3078" width="17" style="56" customWidth="1"/>
    <col min="3079" max="3079" width="10.140625" style="56" customWidth="1"/>
    <col min="3080" max="3080" width="9.85546875" style="56" customWidth="1"/>
    <col min="3081" max="3081" width="9.140625" style="56"/>
    <col min="3082" max="3082" width="10" style="56" customWidth="1"/>
    <col min="3083" max="3083" width="16.28515625" style="56" customWidth="1"/>
    <col min="3084" max="3084" width="13.28515625" style="56" customWidth="1"/>
    <col min="3085" max="3085" width="9.140625" style="56"/>
    <col min="3086" max="3086" width="14.7109375" style="56" bestFit="1" customWidth="1"/>
    <col min="3087" max="3328" width="9.140625" style="56"/>
    <col min="3329" max="3329" width="35.28515625" style="56" customWidth="1"/>
    <col min="3330" max="3331" width="9.7109375" style="56" customWidth="1"/>
    <col min="3332" max="3332" width="8.140625" style="56" customWidth="1"/>
    <col min="3333" max="3333" width="8.7109375" style="56" customWidth="1"/>
    <col min="3334" max="3334" width="17" style="56" customWidth="1"/>
    <col min="3335" max="3335" width="10.140625" style="56" customWidth="1"/>
    <col min="3336" max="3336" width="9.85546875" style="56" customWidth="1"/>
    <col min="3337" max="3337" width="9.140625" style="56"/>
    <col min="3338" max="3338" width="10" style="56" customWidth="1"/>
    <col min="3339" max="3339" width="16.28515625" style="56" customWidth="1"/>
    <col min="3340" max="3340" width="13.28515625" style="56" customWidth="1"/>
    <col min="3341" max="3341" width="9.140625" style="56"/>
    <col min="3342" max="3342" width="14.7109375" style="56" bestFit="1" customWidth="1"/>
    <col min="3343" max="3584" width="9.140625" style="56"/>
    <col min="3585" max="3585" width="35.28515625" style="56" customWidth="1"/>
    <col min="3586" max="3587" width="9.7109375" style="56" customWidth="1"/>
    <col min="3588" max="3588" width="8.140625" style="56" customWidth="1"/>
    <col min="3589" max="3589" width="8.7109375" style="56" customWidth="1"/>
    <col min="3590" max="3590" width="17" style="56" customWidth="1"/>
    <col min="3591" max="3591" width="10.140625" style="56" customWidth="1"/>
    <col min="3592" max="3592" width="9.85546875" style="56" customWidth="1"/>
    <col min="3593" max="3593" width="9.140625" style="56"/>
    <col min="3594" max="3594" width="10" style="56" customWidth="1"/>
    <col min="3595" max="3595" width="16.28515625" style="56" customWidth="1"/>
    <col min="3596" max="3596" width="13.28515625" style="56" customWidth="1"/>
    <col min="3597" max="3597" width="9.140625" style="56"/>
    <col min="3598" max="3598" width="14.7109375" style="56" bestFit="1" customWidth="1"/>
    <col min="3599" max="3840" width="9.140625" style="56"/>
    <col min="3841" max="3841" width="35.28515625" style="56" customWidth="1"/>
    <col min="3842" max="3843" width="9.7109375" style="56" customWidth="1"/>
    <col min="3844" max="3844" width="8.140625" style="56" customWidth="1"/>
    <col min="3845" max="3845" width="8.7109375" style="56" customWidth="1"/>
    <col min="3846" max="3846" width="17" style="56" customWidth="1"/>
    <col min="3847" max="3847" width="10.140625" style="56" customWidth="1"/>
    <col min="3848" max="3848" width="9.85546875" style="56" customWidth="1"/>
    <col min="3849" max="3849" width="9.140625" style="56"/>
    <col min="3850" max="3850" width="10" style="56" customWidth="1"/>
    <col min="3851" max="3851" width="16.28515625" style="56" customWidth="1"/>
    <col min="3852" max="3852" width="13.28515625" style="56" customWidth="1"/>
    <col min="3853" max="3853" width="9.140625" style="56"/>
    <col min="3854" max="3854" width="14.7109375" style="56" bestFit="1" customWidth="1"/>
    <col min="3855" max="4096" width="9.140625" style="56"/>
    <col min="4097" max="4097" width="35.28515625" style="56" customWidth="1"/>
    <col min="4098" max="4099" width="9.7109375" style="56" customWidth="1"/>
    <col min="4100" max="4100" width="8.140625" style="56" customWidth="1"/>
    <col min="4101" max="4101" width="8.7109375" style="56" customWidth="1"/>
    <col min="4102" max="4102" width="17" style="56" customWidth="1"/>
    <col min="4103" max="4103" width="10.140625" style="56" customWidth="1"/>
    <col min="4104" max="4104" width="9.85546875" style="56" customWidth="1"/>
    <col min="4105" max="4105" width="9.140625" style="56"/>
    <col min="4106" max="4106" width="10" style="56" customWidth="1"/>
    <col min="4107" max="4107" width="16.28515625" style="56" customWidth="1"/>
    <col min="4108" max="4108" width="13.28515625" style="56" customWidth="1"/>
    <col min="4109" max="4109" width="9.140625" style="56"/>
    <col min="4110" max="4110" width="14.7109375" style="56" bestFit="1" customWidth="1"/>
    <col min="4111" max="4352" width="9.140625" style="56"/>
    <col min="4353" max="4353" width="35.28515625" style="56" customWidth="1"/>
    <col min="4354" max="4355" width="9.7109375" style="56" customWidth="1"/>
    <col min="4356" max="4356" width="8.140625" style="56" customWidth="1"/>
    <col min="4357" max="4357" width="8.7109375" style="56" customWidth="1"/>
    <col min="4358" max="4358" width="17" style="56" customWidth="1"/>
    <col min="4359" max="4359" width="10.140625" style="56" customWidth="1"/>
    <col min="4360" max="4360" width="9.85546875" style="56" customWidth="1"/>
    <col min="4361" max="4361" width="9.140625" style="56"/>
    <col min="4362" max="4362" width="10" style="56" customWidth="1"/>
    <col min="4363" max="4363" width="16.28515625" style="56" customWidth="1"/>
    <col min="4364" max="4364" width="13.28515625" style="56" customWidth="1"/>
    <col min="4365" max="4365" width="9.140625" style="56"/>
    <col min="4366" max="4366" width="14.7109375" style="56" bestFit="1" customWidth="1"/>
    <col min="4367" max="4608" width="9.140625" style="56"/>
    <col min="4609" max="4609" width="35.28515625" style="56" customWidth="1"/>
    <col min="4610" max="4611" width="9.7109375" style="56" customWidth="1"/>
    <col min="4612" max="4612" width="8.140625" style="56" customWidth="1"/>
    <col min="4613" max="4613" width="8.7109375" style="56" customWidth="1"/>
    <col min="4614" max="4614" width="17" style="56" customWidth="1"/>
    <col min="4615" max="4615" width="10.140625" style="56" customWidth="1"/>
    <col min="4616" max="4616" width="9.85546875" style="56" customWidth="1"/>
    <col min="4617" max="4617" width="9.140625" style="56"/>
    <col min="4618" max="4618" width="10" style="56" customWidth="1"/>
    <col min="4619" max="4619" width="16.28515625" style="56" customWidth="1"/>
    <col min="4620" max="4620" width="13.28515625" style="56" customWidth="1"/>
    <col min="4621" max="4621" width="9.140625" style="56"/>
    <col min="4622" max="4622" width="14.7109375" style="56" bestFit="1" customWidth="1"/>
    <col min="4623" max="4864" width="9.140625" style="56"/>
    <col min="4865" max="4865" width="35.28515625" style="56" customWidth="1"/>
    <col min="4866" max="4867" width="9.7109375" style="56" customWidth="1"/>
    <col min="4868" max="4868" width="8.140625" style="56" customWidth="1"/>
    <col min="4869" max="4869" width="8.7109375" style="56" customWidth="1"/>
    <col min="4870" max="4870" width="17" style="56" customWidth="1"/>
    <col min="4871" max="4871" width="10.140625" style="56" customWidth="1"/>
    <col min="4872" max="4872" width="9.85546875" style="56" customWidth="1"/>
    <col min="4873" max="4873" width="9.140625" style="56"/>
    <col min="4874" max="4874" width="10" style="56" customWidth="1"/>
    <col min="4875" max="4875" width="16.28515625" style="56" customWidth="1"/>
    <col min="4876" max="4876" width="13.28515625" style="56" customWidth="1"/>
    <col min="4877" max="4877" width="9.140625" style="56"/>
    <col min="4878" max="4878" width="14.7109375" style="56" bestFit="1" customWidth="1"/>
    <col min="4879" max="5120" width="9.140625" style="56"/>
    <col min="5121" max="5121" width="35.28515625" style="56" customWidth="1"/>
    <col min="5122" max="5123" width="9.7109375" style="56" customWidth="1"/>
    <col min="5124" max="5124" width="8.140625" style="56" customWidth="1"/>
    <col min="5125" max="5125" width="8.7109375" style="56" customWidth="1"/>
    <col min="5126" max="5126" width="17" style="56" customWidth="1"/>
    <col min="5127" max="5127" width="10.140625" style="56" customWidth="1"/>
    <col min="5128" max="5128" width="9.85546875" style="56" customWidth="1"/>
    <col min="5129" max="5129" width="9.140625" style="56"/>
    <col min="5130" max="5130" width="10" style="56" customWidth="1"/>
    <col min="5131" max="5131" width="16.28515625" style="56" customWidth="1"/>
    <col min="5132" max="5132" width="13.28515625" style="56" customWidth="1"/>
    <col min="5133" max="5133" width="9.140625" style="56"/>
    <col min="5134" max="5134" width="14.7109375" style="56" bestFit="1" customWidth="1"/>
    <col min="5135" max="5376" width="9.140625" style="56"/>
    <col min="5377" max="5377" width="35.28515625" style="56" customWidth="1"/>
    <col min="5378" max="5379" width="9.7109375" style="56" customWidth="1"/>
    <col min="5380" max="5380" width="8.140625" style="56" customWidth="1"/>
    <col min="5381" max="5381" width="8.7109375" style="56" customWidth="1"/>
    <col min="5382" max="5382" width="17" style="56" customWidth="1"/>
    <col min="5383" max="5383" width="10.140625" style="56" customWidth="1"/>
    <col min="5384" max="5384" width="9.85546875" style="56" customWidth="1"/>
    <col min="5385" max="5385" width="9.140625" style="56"/>
    <col min="5386" max="5386" width="10" style="56" customWidth="1"/>
    <col min="5387" max="5387" width="16.28515625" style="56" customWidth="1"/>
    <col min="5388" max="5388" width="13.28515625" style="56" customWidth="1"/>
    <col min="5389" max="5389" width="9.140625" style="56"/>
    <col min="5390" max="5390" width="14.7109375" style="56" bestFit="1" customWidth="1"/>
    <col min="5391" max="5632" width="9.140625" style="56"/>
    <col min="5633" max="5633" width="35.28515625" style="56" customWidth="1"/>
    <col min="5634" max="5635" width="9.7109375" style="56" customWidth="1"/>
    <col min="5636" max="5636" width="8.140625" style="56" customWidth="1"/>
    <col min="5637" max="5637" width="8.7109375" style="56" customWidth="1"/>
    <col min="5638" max="5638" width="17" style="56" customWidth="1"/>
    <col min="5639" max="5639" width="10.140625" style="56" customWidth="1"/>
    <col min="5640" max="5640" width="9.85546875" style="56" customWidth="1"/>
    <col min="5641" max="5641" width="9.140625" style="56"/>
    <col min="5642" max="5642" width="10" style="56" customWidth="1"/>
    <col min="5643" max="5643" width="16.28515625" style="56" customWidth="1"/>
    <col min="5644" max="5644" width="13.28515625" style="56" customWidth="1"/>
    <col min="5645" max="5645" width="9.140625" style="56"/>
    <col min="5646" max="5646" width="14.7109375" style="56" bestFit="1" customWidth="1"/>
    <col min="5647" max="5888" width="9.140625" style="56"/>
    <col min="5889" max="5889" width="35.28515625" style="56" customWidth="1"/>
    <col min="5890" max="5891" width="9.7109375" style="56" customWidth="1"/>
    <col min="5892" max="5892" width="8.140625" style="56" customWidth="1"/>
    <col min="5893" max="5893" width="8.7109375" style="56" customWidth="1"/>
    <col min="5894" max="5894" width="17" style="56" customWidth="1"/>
    <col min="5895" max="5895" width="10.140625" style="56" customWidth="1"/>
    <col min="5896" max="5896" width="9.85546875" style="56" customWidth="1"/>
    <col min="5897" max="5897" width="9.140625" style="56"/>
    <col min="5898" max="5898" width="10" style="56" customWidth="1"/>
    <col min="5899" max="5899" width="16.28515625" style="56" customWidth="1"/>
    <col min="5900" max="5900" width="13.28515625" style="56" customWidth="1"/>
    <col min="5901" max="5901" width="9.140625" style="56"/>
    <col min="5902" max="5902" width="14.7109375" style="56" bestFit="1" customWidth="1"/>
    <col min="5903" max="6144" width="9.140625" style="56"/>
    <col min="6145" max="6145" width="35.28515625" style="56" customWidth="1"/>
    <col min="6146" max="6147" width="9.7109375" style="56" customWidth="1"/>
    <col min="6148" max="6148" width="8.140625" style="56" customWidth="1"/>
    <col min="6149" max="6149" width="8.7109375" style="56" customWidth="1"/>
    <col min="6150" max="6150" width="17" style="56" customWidth="1"/>
    <col min="6151" max="6151" width="10.140625" style="56" customWidth="1"/>
    <col min="6152" max="6152" width="9.85546875" style="56" customWidth="1"/>
    <col min="6153" max="6153" width="9.140625" style="56"/>
    <col min="6154" max="6154" width="10" style="56" customWidth="1"/>
    <col min="6155" max="6155" width="16.28515625" style="56" customWidth="1"/>
    <col min="6156" max="6156" width="13.28515625" style="56" customWidth="1"/>
    <col min="6157" max="6157" width="9.140625" style="56"/>
    <col min="6158" max="6158" width="14.7109375" style="56" bestFit="1" customWidth="1"/>
    <col min="6159" max="6400" width="9.140625" style="56"/>
    <col min="6401" max="6401" width="35.28515625" style="56" customWidth="1"/>
    <col min="6402" max="6403" width="9.7109375" style="56" customWidth="1"/>
    <col min="6404" max="6404" width="8.140625" style="56" customWidth="1"/>
    <col min="6405" max="6405" width="8.7109375" style="56" customWidth="1"/>
    <col min="6406" max="6406" width="17" style="56" customWidth="1"/>
    <col min="6407" max="6407" width="10.140625" style="56" customWidth="1"/>
    <col min="6408" max="6408" width="9.85546875" style="56" customWidth="1"/>
    <col min="6409" max="6409" width="9.140625" style="56"/>
    <col min="6410" max="6410" width="10" style="56" customWidth="1"/>
    <col min="6411" max="6411" width="16.28515625" style="56" customWidth="1"/>
    <col min="6412" max="6412" width="13.28515625" style="56" customWidth="1"/>
    <col min="6413" max="6413" width="9.140625" style="56"/>
    <col min="6414" max="6414" width="14.7109375" style="56" bestFit="1" customWidth="1"/>
    <col min="6415" max="6656" width="9.140625" style="56"/>
    <col min="6657" max="6657" width="35.28515625" style="56" customWidth="1"/>
    <col min="6658" max="6659" width="9.7109375" style="56" customWidth="1"/>
    <col min="6660" max="6660" width="8.140625" style="56" customWidth="1"/>
    <col min="6661" max="6661" width="8.7109375" style="56" customWidth="1"/>
    <col min="6662" max="6662" width="17" style="56" customWidth="1"/>
    <col min="6663" max="6663" width="10.140625" style="56" customWidth="1"/>
    <col min="6664" max="6664" width="9.85546875" style="56" customWidth="1"/>
    <col min="6665" max="6665" width="9.140625" style="56"/>
    <col min="6666" max="6666" width="10" style="56" customWidth="1"/>
    <col min="6667" max="6667" width="16.28515625" style="56" customWidth="1"/>
    <col min="6668" max="6668" width="13.28515625" style="56" customWidth="1"/>
    <col min="6669" max="6669" width="9.140625" style="56"/>
    <col min="6670" max="6670" width="14.7109375" style="56" bestFit="1" customWidth="1"/>
    <col min="6671" max="6912" width="9.140625" style="56"/>
    <col min="6913" max="6913" width="35.28515625" style="56" customWidth="1"/>
    <col min="6914" max="6915" width="9.7109375" style="56" customWidth="1"/>
    <col min="6916" max="6916" width="8.140625" style="56" customWidth="1"/>
    <col min="6917" max="6917" width="8.7109375" style="56" customWidth="1"/>
    <col min="6918" max="6918" width="17" style="56" customWidth="1"/>
    <col min="6919" max="6919" width="10.140625" style="56" customWidth="1"/>
    <col min="6920" max="6920" width="9.85546875" style="56" customWidth="1"/>
    <col min="6921" max="6921" width="9.140625" style="56"/>
    <col min="6922" max="6922" width="10" style="56" customWidth="1"/>
    <col min="6923" max="6923" width="16.28515625" style="56" customWidth="1"/>
    <col min="6924" max="6924" width="13.28515625" style="56" customWidth="1"/>
    <col min="6925" max="6925" width="9.140625" style="56"/>
    <col min="6926" max="6926" width="14.7109375" style="56" bestFit="1" customWidth="1"/>
    <col min="6927" max="7168" width="9.140625" style="56"/>
    <col min="7169" max="7169" width="35.28515625" style="56" customWidth="1"/>
    <col min="7170" max="7171" width="9.7109375" style="56" customWidth="1"/>
    <col min="7172" max="7172" width="8.140625" style="56" customWidth="1"/>
    <col min="7173" max="7173" width="8.7109375" style="56" customWidth="1"/>
    <col min="7174" max="7174" width="17" style="56" customWidth="1"/>
    <col min="7175" max="7175" width="10.140625" style="56" customWidth="1"/>
    <col min="7176" max="7176" width="9.85546875" style="56" customWidth="1"/>
    <col min="7177" max="7177" width="9.140625" style="56"/>
    <col min="7178" max="7178" width="10" style="56" customWidth="1"/>
    <col min="7179" max="7179" width="16.28515625" style="56" customWidth="1"/>
    <col min="7180" max="7180" width="13.28515625" style="56" customWidth="1"/>
    <col min="7181" max="7181" width="9.140625" style="56"/>
    <col min="7182" max="7182" width="14.7109375" style="56" bestFit="1" customWidth="1"/>
    <col min="7183" max="7424" width="9.140625" style="56"/>
    <col min="7425" max="7425" width="35.28515625" style="56" customWidth="1"/>
    <col min="7426" max="7427" width="9.7109375" style="56" customWidth="1"/>
    <col min="7428" max="7428" width="8.140625" style="56" customWidth="1"/>
    <col min="7429" max="7429" width="8.7109375" style="56" customWidth="1"/>
    <col min="7430" max="7430" width="17" style="56" customWidth="1"/>
    <col min="7431" max="7431" width="10.140625" style="56" customWidth="1"/>
    <col min="7432" max="7432" width="9.85546875" style="56" customWidth="1"/>
    <col min="7433" max="7433" width="9.140625" style="56"/>
    <col min="7434" max="7434" width="10" style="56" customWidth="1"/>
    <col min="7435" max="7435" width="16.28515625" style="56" customWidth="1"/>
    <col min="7436" max="7436" width="13.28515625" style="56" customWidth="1"/>
    <col min="7437" max="7437" width="9.140625" style="56"/>
    <col min="7438" max="7438" width="14.7109375" style="56" bestFit="1" customWidth="1"/>
    <col min="7439" max="7680" width="9.140625" style="56"/>
    <col min="7681" max="7681" width="35.28515625" style="56" customWidth="1"/>
    <col min="7682" max="7683" width="9.7109375" style="56" customWidth="1"/>
    <col min="7684" max="7684" width="8.140625" style="56" customWidth="1"/>
    <col min="7685" max="7685" width="8.7109375" style="56" customWidth="1"/>
    <col min="7686" max="7686" width="17" style="56" customWidth="1"/>
    <col min="7687" max="7687" width="10.140625" style="56" customWidth="1"/>
    <col min="7688" max="7688" width="9.85546875" style="56" customWidth="1"/>
    <col min="7689" max="7689" width="9.140625" style="56"/>
    <col min="7690" max="7690" width="10" style="56" customWidth="1"/>
    <col min="7691" max="7691" width="16.28515625" style="56" customWidth="1"/>
    <col min="7692" max="7692" width="13.28515625" style="56" customWidth="1"/>
    <col min="7693" max="7693" width="9.140625" style="56"/>
    <col min="7694" max="7694" width="14.7109375" style="56" bestFit="1" customWidth="1"/>
    <col min="7695" max="7936" width="9.140625" style="56"/>
    <col min="7937" max="7937" width="35.28515625" style="56" customWidth="1"/>
    <col min="7938" max="7939" width="9.7109375" style="56" customWidth="1"/>
    <col min="7940" max="7940" width="8.140625" style="56" customWidth="1"/>
    <col min="7941" max="7941" width="8.7109375" style="56" customWidth="1"/>
    <col min="7942" max="7942" width="17" style="56" customWidth="1"/>
    <col min="7943" max="7943" width="10.140625" style="56" customWidth="1"/>
    <col min="7944" max="7944" width="9.85546875" style="56" customWidth="1"/>
    <col min="7945" max="7945" width="9.140625" style="56"/>
    <col min="7946" max="7946" width="10" style="56" customWidth="1"/>
    <col min="7947" max="7947" width="16.28515625" style="56" customWidth="1"/>
    <col min="7948" max="7948" width="13.28515625" style="56" customWidth="1"/>
    <col min="7949" max="7949" width="9.140625" style="56"/>
    <col min="7950" max="7950" width="14.7109375" style="56" bestFit="1" customWidth="1"/>
    <col min="7951" max="8192" width="9.140625" style="56"/>
    <col min="8193" max="8193" width="35.28515625" style="56" customWidth="1"/>
    <col min="8194" max="8195" width="9.7109375" style="56" customWidth="1"/>
    <col min="8196" max="8196" width="8.140625" style="56" customWidth="1"/>
    <col min="8197" max="8197" width="8.7109375" style="56" customWidth="1"/>
    <col min="8198" max="8198" width="17" style="56" customWidth="1"/>
    <col min="8199" max="8199" width="10.140625" style="56" customWidth="1"/>
    <col min="8200" max="8200" width="9.85546875" style="56" customWidth="1"/>
    <col min="8201" max="8201" width="9.140625" style="56"/>
    <col min="8202" max="8202" width="10" style="56" customWidth="1"/>
    <col min="8203" max="8203" width="16.28515625" style="56" customWidth="1"/>
    <col min="8204" max="8204" width="13.28515625" style="56" customWidth="1"/>
    <col min="8205" max="8205" width="9.140625" style="56"/>
    <col min="8206" max="8206" width="14.7109375" style="56" bestFit="1" customWidth="1"/>
    <col min="8207" max="8448" width="9.140625" style="56"/>
    <col min="8449" max="8449" width="35.28515625" style="56" customWidth="1"/>
    <col min="8450" max="8451" width="9.7109375" style="56" customWidth="1"/>
    <col min="8452" max="8452" width="8.140625" style="56" customWidth="1"/>
    <col min="8453" max="8453" width="8.7109375" style="56" customWidth="1"/>
    <col min="8454" max="8454" width="17" style="56" customWidth="1"/>
    <col min="8455" max="8455" width="10.140625" style="56" customWidth="1"/>
    <col min="8456" max="8456" width="9.85546875" style="56" customWidth="1"/>
    <col min="8457" max="8457" width="9.140625" style="56"/>
    <col min="8458" max="8458" width="10" style="56" customWidth="1"/>
    <col min="8459" max="8459" width="16.28515625" style="56" customWidth="1"/>
    <col min="8460" max="8460" width="13.28515625" style="56" customWidth="1"/>
    <col min="8461" max="8461" width="9.140625" style="56"/>
    <col min="8462" max="8462" width="14.7109375" style="56" bestFit="1" customWidth="1"/>
    <col min="8463" max="8704" width="9.140625" style="56"/>
    <col min="8705" max="8705" width="35.28515625" style="56" customWidth="1"/>
    <col min="8706" max="8707" width="9.7109375" style="56" customWidth="1"/>
    <col min="8708" max="8708" width="8.140625" style="56" customWidth="1"/>
    <col min="8709" max="8709" width="8.7109375" style="56" customWidth="1"/>
    <col min="8710" max="8710" width="17" style="56" customWidth="1"/>
    <col min="8711" max="8711" width="10.140625" style="56" customWidth="1"/>
    <col min="8712" max="8712" width="9.85546875" style="56" customWidth="1"/>
    <col min="8713" max="8713" width="9.140625" style="56"/>
    <col min="8714" max="8714" width="10" style="56" customWidth="1"/>
    <col min="8715" max="8715" width="16.28515625" style="56" customWidth="1"/>
    <col min="8716" max="8716" width="13.28515625" style="56" customWidth="1"/>
    <col min="8717" max="8717" width="9.140625" style="56"/>
    <col min="8718" max="8718" width="14.7109375" style="56" bestFit="1" customWidth="1"/>
    <col min="8719" max="8960" width="9.140625" style="56"/>
    <col min="8961" max="8961" width="35.28515625" style="56" customWidth="1"/>
    <col min="8962" max="8963" width="9.7109375" style="56" customWidth="1"/>
    <col min="8964" max="8964" width="8.140625" style="56" customWidth="1"/>
    <col min="8965" max="8965" width="8.7109375" style="56" customWidth="1"/>
    <col min="8966" max="8966" width="17" style="56" customWidth="1"/>
    <col min="8967" max="8967" width="10.140625" style="56" customWidth="1"/>
    <col min="8968" max="8968" width="9.85546875" style="56" customWidth="1"/>
    <col min="8969" max="8969" width="9.140625" style="56"/>
    <col min="8970" max="8970" width="10" style="56" customWidth="1"/>
    <col min="8971" max="8971" width="16.28515625" style="56" customWidth="1"/>
    <col min="8972" max="8972" width="13.28515625" style="56" customWidth="1"/>
    <col min="8973" max="8973" width="9.140625" style="56"/>
    <col min="8974" max="8974" width="14.7109375" style="56" bestFit="1" customWidth="1"/>
    <col min="8975" max="9216" width="9.140625" style="56"/>
    <col min="9217" max="9217" width="35.28515625" style="56" customWidth="1"/>
    <col min="9218" max="9219" width="9.7109375" style="56" customWidth="1"/>
    <col min="9220" max="9220" width="8.140625" style="56" customWidth="1"/>
    <col min="9221" max="9221" width="8.7109375" style="56" customWidth="1"/>
    <col min="9222" max="9222" width="17" style="56" customWidth="1"/>
    <col min="9223" max="9223" width="10.140625" style="56" customWidth="1"/>
    <col min="9224" max="9224" width="9.85546875" style="56" customWidth="1"/>
    <col min="9225" max="9225" width="9.140625" style="56"/>
    <col min="9226" max="9226" width="10" style="56" customWidth="1"/>
    <col min="9227" max="9227" width="16.28515625" style="56" customWidth="1"/>
    <col min="9228" max="9228" width="13.28515625" style="56" customWidth="1"/>
    <col min="9229" max="9229" width="9.140625" style="56"/>
    <col min="9230" max="9230" width="14.7109375" style="56" bestFit="1" customWidth="1"/>
    <col min="9231" max="9472" width="9.140625" style="56"/>
    <col min="9473" max="9473" width="35.28515625" style="56" customWidth="1"/>
    <col min="9474" max="9475" width="9.7109375" style="56" customWidth="1"/>
    <col min="9476" max="9476" width="8.140625" style="56" customWidth="1"/>
    <col min="9477" max="9477" width="8.7109375" style="56" customWidth="1"/>
    <col min="9478" max="9478" width="17" style="56" customWidth="1"/>
    <col min="9479" max="9479" width="10.140625" style="56" customWidth="1"/>
    <col min="9480" max="9480" width="9.85546875" style="56" customWidth="1"/>
    <col min="9481" max="9481" width="9.140625" style="56"/>
    <col min="9482" max="9482" width="10" style="56" customWidth="1"/>
    <col min="9483" max="9483" width="16.28515625" style="56" customWidth="1"/>
    <col min="9484" max="9484" width="13.28515625" style="56" customWidth="1"/>
    <col min="9485" max="9485" width="9.140625" style="56"/>
    <col min="9486" max="9486" width="14.7109375" style="56" bestFit="1" customWidth="1"/>
    <col min="9487" max="9728" width="9.140625" style="56"/>
    <col min="9729" max="9729" width="35.28515625" style="56" customWidth="1"/>
    <col min="9730" max="9731" width="9.7109375" style="56" customWidth="1"/>
    <col min="9732" max="9732" width="8.140625" style="56" customWidth="1"/>
    <col min="9733" max="9733" width="8.7109375" style="56" customWidth="1"/>
    <col min="9734" max="9734" width="17" style="56" customWidth="1"/>
    <col min="9735" max="9735" width="10.140625" style="56" customWidth="1"/>
    <col min="9736" max="9736" width="9.85546875" style="56" customWidth="1"/>
    <col min="9737" max="9737" width="9.140625" style="56"/>
    <col min="9738" max="9738" width="10" style="56" customWidth="1"/>
    <col min="9739" max="9739" width="16.28515625" style="56" customWidth="1"/>
    <col min="9740" max="9740" width="13.28515625" style="56" customWidth="1"/>
    <col min="9741" max="9741" width="9.140625" style="56"/>
    <col min="9742" max="9742" width="14.7109375" style="56" bestFit="1" customWidth="1"/>
    <col min="9743" max="9984" width="9.140625" style="56"/>
    <col min="9985" max="9985" width="35.28515625" style="56" customWidth="1"/>
    <col min="9986" max="9987" width="9.7109375" style="56" customWidth="1"/>
    <col min="9988" max="9988" width="8.140625" style="56" customWidth="1"/>
    <col min="9989" max="9989" width="8.7109375" style="56" customWidth="1"/>
    <col min="9990" max="9990" width="17" style="56" customWidth="1"/>
    <col min="9991" max="9991" width="10.140625" style="56" customWidth="1"/>
    <col min="9992" max="9992" width="9.85546875" style="56" customWidth="1"/>
    <col min="9993" max="9993" width="9.140625" style="56"/>
    <col min="9994" max="9994" width="10" style="56" customWidth="1"/>
    <col min="9995" max="9995" width="16.28515625" style="56" customWidth="1"/>
    <col min="9996" max="9996" width="13.28515625" style="56" customWidth="1"/>
    <col min="9997" max="9997" width="9.140625" style="56"/>
    <col min="9998" max="9998" width="14.7109375" style="56" bestFit="1" customWidth="1"/>
    <col min="9999" max="10240" width="9.140625" style="56"/>
    <col min="10241" max="10241" width="35.28515625" style="56" customWidth="1"/>
    <col min="10242" max="10243" width="9.7109375" style="56" customWidth="1"/>
    <col min="10244" max="10244" width="8.140625" style="56" customWidth="1"/>
    <col min="10245" max="10245" width="8.7109375" style="56" customWidth="1"/>
    <col min="10246" max="10246" width="17" style="56" customWidth="1"/>
    <col min="10247" max="10247" width="10.140625" style="56" customWidth="1"/>
    <col min="10248" max="10248" width="9.85546875" style="56" customWidth="1"/>
    <col min="10249" max="10249" width="9.140625" style="56"/>
    <col min="10250" max="10250" width="10" style="56" customWidth="1"/>
    <col min="10251" max="10251" width="16.28515625" style="56" customWidth="1"/>
    <col min="10252" max="10252" width="13.28515625" style="56" customWidth="1"/>
    <col min="10253" max="10253" width="9.140625" style="56"/>
    <col min="10254" max="10254" width="14.7109375" style="56" bestFit="1" customWidth="1"/>
    <col min="10255" max="10496" width="9.140625" style="56"/>
    <col min="10497" max="10497" width="35.28515625" style="56" customWidth="1"/>
    <col min="10498" max="10499" width="9.7109375" style="56" customWidth="1"/>
    <col min="10500" max="10500" width="8.140625" style="56" customWidth="1"/>
    <col min="10501" max="10501" width="8.7109375" style="56" customWidth="1"/>
    <col min="10502" max="10502" width="17" style="56" customWidth="1"/>
    <col min="10503" max="10503" width="10.140625" style="56" customWidth="1"/>
    <col min="10504" max="10504" width="9.85546875" style="56" customWidth="1"/>
    <col min="10505" max="10505" width="9.140625" style="56"/>
    <col min="10506" max="10506" width="10" style="56" customWidth="1"/>
    <col min="10507" max="10507" width="16.28515625" style="56" customWidth="1"/>
    <col min="10508" max="10508" width="13.28515625" style="56" customWidth="1"/>
    <col min="10509" max="10509" width="9.140625" style="56"/>
    <col min="10510" max="10510" width="14.7109375" style="56" bestFit="1" customWidth="1"/>
    <col min="10511" max="10752" width="9.140625" style="56"/>
    <col min="10753" max="10753" width="35.28515625" style="56" customWidth="1"/>
    <col min="10754" max="10755" width="9.7109375" style="56" customWidth="1"/>
    <col min="10756" max="10756" width="8.140625" style="56" customWidth="1"/>
    <col min="10757" max="10757" width="8.7109375" style="56" customWidth="1"/>
    <col min="10758" max="10758" width="17" style="56" customWidth="1"/>
    <col min="10759" max="10759" width="10.140625" style="56" customWidth="1"/>
    <col min="10760" max="10760" width="9.85546875" style="56" customWidth="1"/>
    <col min="10761" max="10761" width="9.140625" style="56"/>
    <col min="10762" max="10762" width="10" style="56" customWidth="1"/>
    <col min="10763" max="10763" width="16.28515625" style="56" customWidth="1"/>
    <col min="10764" max="10764" width="13.28515625" style="56" customWidth="1"/>
    <col min="10765" max="10765" width="9.140625" style="56"/>
    <col min="10766" max="10766" width="14.7109375" style="56" bestFit="1" customWidth="1"/>
    <col min="10767" max="11008" width="9.140625" style="56"/>
    <col min="11009" max="11009" width="35.28515625" style="56" customWidth="1"/>
    <col min="11010" max="11011" width="9.7109375" style="56" customWidth="1"/>
    <col min="11012" max="11012" width="8.140625" style="56" customWidth="1"/>
    <col min="11013" max="11013" width="8.7109375" style="56" customWidth="1"/>
    <col min="11014" max="11014" width="17" style="56" customWidth="1"/>
    <col min="11015" max="11015" width="10.140625" style="56" customWidth="1"/>
    <col min="11016" max="11016" width="9.85546875" style="56" customWidth="1"/>
    <col min="11017" max="11017" width="9.140625" style="56"/>
    <col min="11018" max="11018" width="10" style="56" customWidth="1"/>
    <col min="11019" max="11019" width="16.28515625" style="56" customWidth="1"/>
    <col min="11020" max="11020" width="13.28515625" style="56" customWidth="1"/>
    <col min="11021" max="11021" width="9.140625" style="56"/>
    <col min="11022" max="11022" width="14.7109375" style="56" bestFit="1" customWidth="1"/>
    <col min="11023" max="11264" width="9.140625" style="56"/>
    <col min="11265" max="11265" width="35.28515625" style="56" customWidth="1"/>
    <col min="11266" max="11267" width="9.7109375" style="56" customWidth="1"/>
    <col min="11268" max="11268" width="8.140625" style="56" customWidth="1"/>
    <col min="11269" max="11269" width="8.7109375" style="56" customWidth="1"/>
    <col min="11270" max="11270" width="17" style="56" customWidth="1"/>
    <col min="11271" max="11271" width="10.140625" style="56" customWidth="1"/>
    <col min="11272" max="11272" width="9.85546875" style="56" customWidth="1"/>
    <col min="11273" max="11273" width="9.140625" style="56"/>
    <col min="11274" max="11274" width="10" style="56" customWidth="1"/>
    <col min="11275" max="11275" width="16.28515625" style="56" customWidth="1"/>
    <col min="11276" max="11276" width="13.28515625" style="56" customWidth="1"/>
    <col min="11277" max="11277" width="9.140625" style="56"/>
    <col min="11278" max="11278" width="14.7109375" style="56" bestFit="1" customWidth="1"/>
    <col min="11279" max="11520" width="9.140625" style="56"/>
    <col min="11521" max="11521" width="35.28515625" style="56" customWidth="1"/>
    <col min="11522" max="11523" width="9.7109375" style="56" customWidth="1"/>
    <col min="11524" max="11524" width="8.140625" style="56" customWidth="1"/>
    <col min="11525" max="11525" width="8.7109375" style="56" customWidth="1"/>
    <col min="11526" max="11526" width="17" style="56" customWidth="1"/>
    <col min="11527" max="11527" width="10.140625" style="56" customWidth="1"/>
    <col min="11528" max="11528" width="9.85546875" style="56" customWidth="1"/>
    <col min="11529" max="11529" width="9.140625" style="56"/>
    <col min="11530" max="11530" width="10" style="56" customWidth="1"/>
    <col min="11531" max="11531" width="16.28515625" style="56" customWidth="1"/>
    <col min="11532" max="11532" width="13.28515625" style="56" customWidth="1"/>
    <col min="11533" max="11533" width="9.140625" style="56"/>
    <col min="11534" max="11534" width="14.7109375" style="56" bestFit="1" customWidth="1"/>
    <col min="11535" max="11776" width="9.140625" style="56"/>
    <col min="11777" max="11777" width="35.28515625" style="56" customWidth="1"/>
    <col min="11778" max="11779" width="9.7109375" style="56" customWidth="1"/>
    <col min="11780" max="11780" width="8.140625" style="56" customWidth="1"/>
    <col min="11781" max="11781" width="8.7109375" style="56" customWidth="1"/>
    <col min="11782" max="11782" width="17" style="56" customWidth="1"/>
    <col min="11783" max="11783" width="10.140625" style="56" customWidth="1"/>
    <col min="11784" max="11784" width="9.85546875" style="56" customWidth="1"/>
    <col min="11785" max="11785" width="9.140625" style="56"/>
    <col min="11786" max="11786" width="10" style="56" customWidth="1"/>
    <col min="11787" max="11787" width="16.28515625" style="56" customWidth="1"/>
    <col min="11788" max="11788" width="13.28515625" style="56" customWidth="1"/>
    <col min="11789" max="11789" width="9.140625" style="56"/>
    <col min="11790" max="11790" width="14.7109375" style="56" bestFit="1" customWidth="1"/>
    <col min="11791" max="12032" width="9.140625" style="56"/>
    <col min="12033" max="12033" width="35.28515625" style="56" customWidth="1"/>
    <col min="12034" max="12035" width="9.7109375" style="56" customWidth="1"/>
    <col min="12036" max="12036" width="8.140625" style="56" customWidth="1"/>
    <col min="12037" max="12037" width="8.7109375" style="56" customWidth="1"/>
    <col min="12038" max="12038" width="17" style="56" customWidth="1"/>
    <col min="12039" max="12039" width="10.140625" style="56" customWidth="1"/>
    <col min="12040" max="12040" width="9.85546875" style="56" customWidth="1"/>
    <col min="12041" max="12041" width="9.140625" style="56"/>
    <col min="12042" max="12042" width="10" style="56" customWidth="1"/>
    <col min="12043" max="12043" width="16.28515625" style="56" customWidth="1"/>
    <col min="12044" max="12044" width="13.28515625" style="56" customWidth="1"/>
    <col min="12045" max="12045" width="9.140625" style="56"/>
    <col min="12046" max="12046" width="14.7109375" style="56" bestFit="1" customWidth="1"/>
    <col min="12047" max="12288" width="9.140625" style="56"/>
    <col min="12289" max="12289" width="35.28515625" style="56" customWidth="1"/>
    <col min="12290" max="12291" width="9.7109375" style="56" customWidth="1"/>
    <col min="12292" max="12292" width="8.140625" style="56" customWidth="1"/>
    <col min="12293" max="12293" width="8.7109375" style="56" customWidth="1"/>
    <col min="12294" max="12294" width="17" style="56" customWidth="1"/>
    <col min="12295" max="12295" width="10.140625" style="56" customWidth="1"/>
    <col min="12296" max="12296" width="9.85546875" style="56" customWidth="1"/>
    <col min="12297" max="12297" width="9.140625" style="56"/>
    <col min="12298" max="12298" width="10" style="56" customWidth="1"/>
    <col min="12299" max="12299" width="16.28515625" style="56" customWidth="1"/>
    <col min="12300" max="12300" width="13.28515625" style="56" customWidth="1"/>
    <col min="12301" max="12301" width="9.140625" style="56"/>
    <col min="12302" max="12302" width="14.7109375" style="56" bestFit="1" customWidth="1"/>
    <col min="12303" max="12544" width="9.140625" style="56"/>
    <col min="12545" max="12545" width="35.28515625" style="56" customWidth="1"/>
    <col min="12546" max="12547" width="9.7109375" style="56" customWidth="1"/>
    <col min="12548" max="12548" width="8.140625" style="56" customWidth="1"/>
    <col min="12549" max="12549" width="8.7109375" style="56" customWidth="1"/>
    <col min="12550" max="12550" width="17" style="56" customWidth="1"/>
    <col min="12551" max="12551" width="10.140625" style="56" customWidth="1"/>
    <col min="12552" max="12552" width="9.85546875" style="56" customWidth="1"/>
    <col min="12553" max="12553" width="9.140625" style="56"/>
    <col min="12554" max="12554" width="10" style="56" customWidth="1"/>
    <col min="12555" max="12555" width="16.28515625" style="56" customWidth="1"/>
    <col min="12556" max="12556" width="13.28515625" style="56" customWidth="1"/>
    <col min="12557" max="12557" width="9.140625" style="56"/>
    <col min="12558" max="12558" width="14.7109375" style="56" bestFit="1" customWidth="1"/>
    <col min="12559" max="12800" width="9.140625" style="56"/>
    <col min="12801" max="12801" width="35.28515625" style="56" customWidth="1"/>
    <col min="12802" max="12803" width="9.7109375" style="56" customWidth="1"/>
    <col min="12804" max="12804" width="8.140625" style="56" customWidth="1"/>
    <col min="12805" max="12805" width="8.7109375" style="56" customWidth="1"/>
    <col min="12806" max="12806" width="17" style="56" customWidth="1"/>
    <col min="12807" max="12807" width="10.140625" style="56" customWidth="1"/>
    <col min="12808" max="12808" width="9.85546875" style="56" customWidth="1"/>
    <col min="12809" max="12809" width="9.140625" style="56"/>
    <col min="12810" max="12810" width="10" style="56" customWidth="1"/>
    <col min="12811" max="12811" width="16.28515625" style="56" customWidth="1"/>
    <col min="12812" max="12812" width="13.28515625" style="56" customWidth="1"/>
    <col min="12813" max="12813" width="9.140625" style="56"/>
    <col min="12814" max="12814" width="14.7109375" style="56" bestFit="1" customWidth="1"/>
    <col min="12815" max="13056" width="9.140625" style="56"/>
    <col min="13057" max="13057" width="35.28515625" style="56" customWidth="1"/>
    <col min="13058" max="13059" width="9.7109375" style="56" customWidth="1"/>
    <col min="13060" max="13060" width="8.140625" style="56" customWidth="1"/>
    <col min="13061" max="13061" width="8.7109375" style="56" customWidth="1"/>
    <col min="13062" max="13062" width="17" style="56" customWidth="1"/>
    <col min="13063" max="13063" width="10.140625" style="56" customWidth="1"/>
    <col min="13064" max="13064" width="9.85546875" style="56" customWidth="1"/>
    <col min="13065" max="13065" width="9.140625" style="56"/>
    <col min="13066" max="13066" width="10" style="56" customWidth="1"/>
    <col min="13067" max="13067" width="16.28515625" style="56" customWidth="1"/>
    <col min="13068" max="13068" width="13.28515625" style="56" customWidth="1"/>
    <col min="13069" max="13069" width="9.140625" style="56"/>
    <col min="13070" max="13070" width="14.7109375" style="56" bestFit="1" customWidth="1"/>
    <col min="13071" max="13312" width="9.140625" style="56"/>
    <col min="13313" max="13313" width="35.28515625" style="56" customWidth="1"/>
    <col min="13314" max="13315" width="9.7109375" style="56" customWidth="1"/>
    <col min="13316" max="13316" width="8.140625" style="56" customWidth="1"/>
    <col min="13317" max="13317" width="8.7109375" style="56" customWidth="1"/>
    <col min="13318" max="13318" width="17" style="56" customWidth="1"/>
    <col min="13319" max="13319" width="10.140625" style="56" customWidth="1"/>
    <col min="13320" max="13320" width="9.85546875" style="56" customWidth="1"/>
    <col min="13321" max="13321" width="9.140625" style="56"/>
    <col min="13322" max="13322" width="10" style="56" customWidth="1"/>
    <col min="13323" max="13323" width="16.28515625" style="56" customWidth="1"/>
    <col min="13324" max="13324" width="13.28515625" style="56" customWidth="1"/>
    <col min="13325" max="13325" width="9.140625" style="56"/>
    <col min="13326" max="13326" width="14.7109375" style="56" bestFit="1" customWidth="1"/>
    <col min="13327" max="13568" width="9.140625" style="56"/>
    <col min="13569" max="13569" width="35.28515625" style="56" customWidth="1"/>
    <col min="13570" max="13571" width="9.7109375" style="56" customWidth="1"/>
    <col min="13572" max="13572" width="8.140625" style="56" customWidth="1"/>
    <col min="13573" max="13573" width="8.7109375" style="56" customWidth="1"/>
    <col min="13574" max="13574" width="17" style="56" customWidth="1"/>
    <col min="13575" max="13575" width="10.140625" style="56" customWidth="1"/>
    <col min="13576" max="13576" width="9.85546875" style="56" customWidth="1"/>
    <col min="13577" max="13577" width="9.140625" style="56"/>
    <col min="13578" max="13578" width="10" style="56" customWidth="1"/>
    <col min="13579" max="13579" width="16.28515625" style="56" customWidth="1"/>
    <col min="13580" max="13580" width="13.28515625" style="56" customWidth="1"/>
    <col min="13581" max="13581" width="9.140625" style="56"/>
    <col min="13582" max="13582" width="14.7109375" style="56" bestFit="1" customWidth="1"/>
    <col min="13583" max="13824" width="9.140625" style="56"/>
    <col min="13825" max="13825" width="35.28515625" style="56" customWidth="1"/>
    <col min="13826" max="13827" width="9.7109375" style="56" customWidth="1"/>
    <col min="13828" max="13828" width="8.140625" style="56" customWidth="1"/>
    <col min="13829" max="13829" width="8.7109375" style="56" customWidth="1"/>
    <col min="13830" max="13830" width="17" style="56" customWidth="1"/>
    <col min="13831" max="13831" width="10.140625" style="56" customWidth="1"/>
    <col min="13832" max="13832" width="9.85546875" style="56" customWidth="1"/>
    <col min="13833" max="13833" width="9.140625" style="56"/>
    <col min="13834" max="13834" width="10" style="56" customWidth="1"/>
    <col min="13835" max="13835" width="16.28515625" style="56" customWidth="1"/>
    <col min="13836" max="13836" width="13.28515625" style="56" customWidth="1"/>
    <col min="13837" max="13837" width="9.140625" style="56"/>
    <col min="13838" max="13838" width="14.7109375" style="56" bestFit="1" customWidth="1"/>
    <col min="13839" max="14080" width="9.140625" style="56"/>
    <col min="14081" max="14081" width="35.28515625" style="56" customWidth="1"/>
    <col min="14082" max="14083" width="9.7109375" style="56" customWidth="1"/>
    <col min="14084" max="14084" width="8.140625" style="56" customWidth="1"/>
    <col min="14085" max="14085" width="8.7109375" style="56" customWidth="1"/>
    <col min="14086" max="14086" width="17" style="56" customWidth="1"/>
    <col min="14087" max="14087" width="10.140625" style="56" customWidth="1"/>
    <col min="14088" max="14088" width="9.85546875" style="56" customWidth="1"/>
    <col min="14089" max="14089" width="9.140625" style="56"/>
    <col min="14090" max="14090" width="10" style="56" customWidth="1"/>
    <col min="14091" max="14091" width="16.28515625" style="56" customWidth="1"/>
    <col min="14092" max="14092" width="13.28515625" style="56" customWidth="1"/>
    <col min="14093" max="14093" width="9.140625" style="56"/>
    <col min="14094" max="14094" width="14.7109375" style="56" bestFit="1" customWidth="1"/>
    <col min="14095" max="14336" width="9.140625" style="56"/>
    <col min="14337" max="14337" width="35.28515625" style="56" customWidth="1"/>
    <col min="14338" max="14339" width="9.7109375" style="56" customWidth="1"/>
    <col min="14340" max="14340" width="8.140625" style="56" customWidth="1"/>
    <col min="14341" max="14341" width="8.7109375" style="56" customWidth="1"/>
    <col min="14342" max="14342" width="17" style="56" customWidth="1"/>
    <col min="14343" max="14343" width="10.140625" style="56" customWidth="1"/>
    <col min="14344" max="14344" width="9.85546875" style="56" customWidth="1"/>
    <col min="14345" max="14345" width="9.140625" style="56"/>
    <col min="14346" max="14346" width="10" style="56" customWidth="1"/>
    <col min="14347" max="14347" width="16.28515625" style="56" customWidth="1"/>
    <col min="14348" max="14348" width="13.28515625" style="56" customWidth="1"/>
    <col min="14349" max="14349" width="9.140625" style="56"/>
    <col min="14350" max="14350" width="14.7109375" style="56" bestFit="1" customWidth="1"/>
    <col min="14351" max="14592" width="9.140625" style="56"/>
    <col min="14593" max="14593" width="35.28515625" style="56" customWidth="1"/>
    <col min="14594" max="14595" width="9.7109375" style="56" customWidth="1"/>
    <col min="14596" max="14596" width="8.140625" style="56" customWidth="1"/>
    <col min="14597" max="14597" width="8.7109375" style="56" customWidth="1"/>
    <col min="14598" max="14598" width="17" style="56" customWidth="1"/>
    <col min="14599" max="14599" width="10.140625" style="56" customWidth="1"/>
    <col min="14600" max="14600" width="9.85546875" style="56" customWidth="1"/>
    <col min="14601" max="14601" width="9.140625" style="56"/>
    <col min="14602" max="14602" width="10" style="56" customWidth="1"/>
    <col min="14603" max="14603" width="16.28515625" style="56" customWidth="1"/>
    <col min="14604" max="14604" width="13.28515625" style="56" customWidth="1"/>
    <col min="14605" max="14605" width="9.140625" style="56"/>
    <col min="14606" max="14606" width="14.7109375" style="56" bestFit="1" customWidth="1"/>
    <col min="14607" max="14848" width="9.140625" style="56"/>
    <col min="14849" max="14849" width="35.28515625" style="56" customWidth="1"/>
    <col min="14850" max="14851" width="9.7109375" style="56" customWidth="1"/>
    <col min="14852" max="14852" width="8.140625" style="56" customWidth="1"/>
    <col min="14853" max="14853" width="8.7109375" style="56" customWidth="1"/>
    <col min="14854" max="14854" width="17" style="56" customWidth="1"/>
    <col min="14855" max="14855" width="10.140625" style="56" customWidth="1"/>
    <col min="14856" max="14856" width="9.85546875" style="56" customWidth="1"/>
    <col min="14857" max="14857" width="9.140625" style="56"/>
    <col min="14858" max="14858" width="10" style="56" customWidth="1"/>
    <col min="14859" max="14859" width="16.28515625" style="56" customWidth="1"/>
    <col min="14860" max="14860" width="13.28515625" style="56" customWidth="1"/>
    <col min="14861" max="14861" width="9.140625" style="56"/>
    <col min="14862" max="14862" width="14.7109375" style="56" bestFit="1" customWidth="1"/>
    <col min="14863" max="15104" width="9.140625" style="56"/>
    <col min="15105" max="15105" width="35.28515625" style="56" customWidth="1"/>
    <col min="15106" max="15107" width="9.7109375" style="56" customWidth="1"/>
    <col min="15108" max="15108" width="8.140625" style="56" customWidth="1"/>
    <col min="15109" max="15109" width="8.7109375" style="56" customWidth="1"/>
    <col min="15110" max="15110" width="17" style="56" customWidth="1"/>
    <col min="15111" max="15111" width="10.140625" style="56" customWidth="1"/>
    <col min="15112" max="15112" width="9.85546875" style="56" customWidth="1"/>
    <col min="15113" max="15113" width="9.140625" style="56"/>
    <col min="15114" max="15114" width="10" style="56" customWidth="1"/>
    <col min="15115" max="15115" width="16.28515625" style="56" customWidth="1"/>
    <col min="15116" max="15116" width="13.28515625" style="56" customWidth="1"/>
    <col min="15117" max="15117" width="9.140625" style="56"/>
    <col min="15118" max="15118" width="14.7109375" style="56" bestFit="1" customWidth="1"/>
    <col min="15119" max="15360" width="9.140625" style="56"/>
    <col min="15361" max="15361" width="35.28515625" style="56" customWidth="1"/>
    <col min="15362" max="15363" width="9.7109375" style="56" customWidth="1"/>
    <col min="15364" max="15364" width="8.140625" style="56" customWidth="1"/>
    <col min="15365" max="15365" width="8.7109375" style="56" customWidth="1"/>
    <col min="15366" max="15366" width="17" style="56" customWidth="1"/>
    <col min="15367" max="15367" width="10.140625" style="56" customWidth="1"/>
    <col min="15368" max="15368" width="9.85546875" style="56" customWidth="1"/>
    <col min="15369" max="15369" width="9.140625" style="56"/>
    <col min="15370" max="15370" width="10" style="56" customWidth="1"/>
    <col min="15371" max="15371" width="16.28515625" style="56" customWidth="1"/>
    <col min="15372" max="15372" width="13.28515625" style="56" customWidth="1"/>
    <col min="15373" max="15373" width="9.140625" style="56"/>
    <col min="15374" max="15374" width="14.7109375" style="56" bestFit="1" customWidth="1"/>
    <col min="15375" max="15616" width="9.140625" style="56"/>
    <col min="15617" max="15617" width="35.28515625" style="56" customWidth="1"/>
    <col min="15618" max="15619" width="9.7109375" style="56" customWidth="1"/>
    <col min="15620" max="15620" width="8.140625" style="56" customWidth="1"/>
    <col min="15621" max="15621" width="8.7109375" style="56" customWidth="1"/>
    <col min="15622" max="15622" width="17" style="56" customWidth="1"/>
    <col min="15623" max="15623" width="10.140625" style="56" customWidth="1"/>
    <col min="15624" max="15624" width="9.85546875" style="56" customWidth="1"/>
    <col min="15625" max="15625" width="9.140625" style="56"/>
    <col min="15626" max="15626" width="10" style="56" customWidth="1"/>
    <col min="15627" max="15627" width="16.28515625" style="56" customWidth="1"/>
    <col min="15628" max="15628" width="13.28515625" style="56" customWidth="1"/>
    <col min="15629" max="15629" width="9.140625" style="56"/>
    <col min="15630" max="15630" width="14.7109375" style="56" bestFit="1" customWidth="1"/>
    <col min="15631" max="15872" width="9.140625" style="56"/>
    <col min="15873" max="15873" width="35.28515625" style="56" customWidth="1"/>
    <col min="15874" max="15875" width="9.7109375" style="56" customWidth="1"/>
    <col min="15876" max="15876" width="8.140625" style="56" customWidth="1"/>
    <col min="15877" max="15877" width="8.7109375" style="56" customWidth="1"/>
    <col min="15878" max="15878" width="17" style="56" customWidth="1"/>
    <col min="15879" max="15879" width="10.140625" style="56" customWidth="1"/>
    <col min="15880" max="15880" width="9.85546875" style="56" customWidth="1"/>
    <col min="15881" max="15881" width="9.140625" style="56"/>
    <col min="15882" max="15882" width="10" style="56" customWidth="1"/>
    <col min="15883" max="15883" width="16.28515625" style="56" customWidth="1"/>
    <col min="15884" max="15884" width="13.28515625" style="56" customWidth="1"/>
    <col min="15885" max="15885" width="9.140625" style="56"/>
    <col min="15886" max="15886" width="14.7109375" style="56" bestFit="1" customWidth="1"/>
    <col min="15887" max="16128" width="9.140625" style="56"/>
    <col min="16129" max="16129" width="35.28515625" style="56" customWidth="1"/>
    <col min="16130" max="16131" width="9.7109375" style="56" customWidth="1"/>
    <col min="16132" max="16132" width="8.140625" style="56" customWidth="1"/>
    <col min="16133" max="16133" width="8.7109375" style="56" customWidth="1"/>
    <col min="16134" max="16134" width="17" style="56" customWidth="1"/>
    <col min="16135" max="16135" width="10.140625" style="56" customWidth="1"/>
    <col min="16136" max="16136" width="9.85546875" style="56" customWidth="1"/>
    <col min="16137" max="16137" width="9.140625" style="56"/>
    <col min="16138" max="16138" width="10" style="56" customWidth="1"/>
    <col min="16139" max="16139" width="16.28515625" style="56" customWidth="1"/>
    <col min="16140" max="16140" width="13.28515625" style="56" customWidth="1"/>
    <col min="16141" max="16141" width="9.140625" style="56"/>
    <col min="16142" max="16142" width="14.7109375" style="56" bestFit="1" customWidth="1"/>
    <col min="16143" max="16384" width="9.140625" style="56"/>
  </cols>
  <sheetData>
    <row r="1" spans="1:14" x14ac:dyDescent="0.25">
      <c r="H1" s="238" t="s">
        <v>110</v>
      </c>
      <c r="I1" s="238"/>
      <c r="J1" s="238"/>
      <c r="K1" s="238"/>
    </row>
    <row r="2" spans="1:14" x14ac:dyDescent="0.25">
      <c r="H2" s="238"/>
      <c r="I2" s="238"/>
      <c r="J2" s="238"/>
      <c r="K2" s="238"/>
    </row>
    <row r="3" spans="1:14" x14ac:dyDescent="0.25">
      <c r="A3" s="239" t="s">
        <v>111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spans="1:14" x14ac:dyDescent="0.25">
      <c r="A4" s="36"/>
      <c r="B4" s="227" t="s">
        <v>112</v>
      </c>
      <c r="C4" s="227"/>
      <c r="D4" s="227"/>
      <c r="E4" s="227"/>
      <c r="F4" s="227"/>
      <c r="G4" s="227" t="s">
        <v>113</v>
      </c>
      <c r="H4" s="227"/>
      <c r="I4" s="227"/>
      <c r="J4" s="227"/>
      <c r="K4" s="227"/>
    </row>
    <row r="5" spans="1:14" ht="51.75" x14ac:dyDescent="0.25">
      <c r="A5" s="2"/>
      <c r="B5" s="57" t="s">
        <v>114</v>
      </c>
      <c r="C5" s="57" t="s">
        <v>115</v>
      </c>
      <c r="D5" s="57" t="s">
        <v>116</v>
      </c>
      <c r="E5" s="57" t="s">
        <v>117</v>
      </c>
      <c r="F5" s="58" t="s">
        <v>49</v>
      </c>
      <c r="G5" s="59" t="s">
        <v>118</v>
      </c>
      <c r="H5" s="57" t="s">
        <v>115</v>
      </c>
      <c r="I5" s="57" t="s">
        <v>116</v>
      </c>
      <c r="J5" s="57" t="s">
        <v>119</v>
      </c>
      <c r="K5" s="57" t="s">
        <v>49</v>
      </c>
    </row>
    <row r="6" spans="1:14" x14ac:dyDescent="0.25">
      <c r="A6" s="36" t="s">
        <v>120</v>
      </c>
      <c r="B6" s="55"/>
      <c r="C6" s="55"/>
      <c r="D6" s="55"/>
      <c r="E6" s="55"/>
      <c r="F6" s="60"/>
      <c r="G6" s="61"/>
      <c r="H6" s="36"/>
      <c r="I6" s="36"/>
      <c r="J6" s="36"/>
      <c r="K6" s="36"/>
    </row>
    <row r="7" spans="1:14" x14ac:dyDescent="0.25">
      <c r="A7" s="36" t="s">
        <v>121</v>
      </c>
      <c r="B7" s="55">
        <v>20</v>
      </c>
      <c r="C7" s="55">
        <v>365</v>
      </c>
      <c r="D7" s="55">
        <f t="shared" ref="D7:D16" si="0">B7*C7</f>
        <v>7300</v>
      </c>
      <c r="E7" s="55">
        <v>47.57</v>
      </c>
      <c r="F7" s="60">
        <f t="shared" ref="F7:F16" si="1">D7*E7</f>
        <v>347261</v>
      </c>
      <c r="G7" s="55">
        <v>20</v>
      </c>
      <c r="H7" s="55">
        <v>365</v>
      </c>
      <c r="I7" s="55">
        <f t="shared" ref="I7:I16" si="2">G7*H7</f>
        <v>7300</v>
      </c>
      <c r="J7" s="55">
        <v>41.54</v>
      </c>
      <c r="K7" s="53">
        <f>I7*J7</f>
        <v>303242</v>
      </c>
      <c r="M7" s="32"/>
      <c r="N7" s="62"/>
    </row>
    <row r="8" spans="1:14" x14ac:dyDescent="0.25">
      <c r="A8" s="36" t="s">
        <v>122</v>
      </c>
      <c r="B8" s="55">
        <v>5</v>
      </c>
      <c r="C8" s="55">
        <v>365</v>
      </c>
      <c r="D8" s="55">
        <f t="shared" si="0"/>
        <v>1825</v>
      </c>
      <c r="E8" s="55">
        <v>47.57</v>
      </c>
      <c r="F8" s="60">
        <f t="shared" si="1"/>
        <v>86815.25</v>
      </c>
      <c r="G8" s="55">
        <v>5</v>
      </c>
      <c r="H8" s="55">
        <v>365</v>
      </c>
      <c r="I8" s="55">
        <f t="shared" si="2"/>
        <v>1825</v>
      </c>
      <c r="J8" s="55">
        <v>41.54</v>
      </c>
      <c r="K8" s="53">
        <f t="shared" ref="K8:K16" si="3">I8*J8</f>
        <v>75810.5</v>
      </c>
      <c r="M8" s="32"/>
      <c r="N8" s="62"/>
    </row>
    <row r="9" spans="1:14" x14ac:dyDescent="0.25">
      <c r="A9" s="36" t="s">
        <v>123</v>
      </c>
      <c r="B9" s="55">
        <v>20</v>
      </c>
      <c r="C9" s="55">
        <v>365</v>
      </c>
      <c r="D9" s="55">
        <f t="shared" si="0"/>
        <v>7300</v>
      </c>
      <c r="E9" s="55">
        <v>47.57</v>
      </c>
      <c r="F9" s="60">
        <f t="shared" si="1"/>
        <v>347261</v>
      </c>
      <c r="G9" s="55">
        <v>20</v>
      </c>
      <c r="H9" s="55">
        <v>365</v>
      </c>
      <c r="I9" s="55">
        <f t="shared" si="2"/>
        <v>7300</v>
      </c>
      <c r="J9" s="55">
        <v>41.54</v>
      </c>
      <c r="K9" s="53">
        <f t="shared" si="3"/>
        <v>303242</v>
      </c>
      <c r="M9" s="32"/>
      <c r="N9" s="62"/>
    </row>
    <row r="10" spans="1:14" x14ac:dyDescent="0.25">
      <c r="A10" s="36" t="s">
        <v>124</v>
      </c>
      <c r="B10" s="55">
        <v>20</v>
      </c>
      <c r="C10" s="55">
        <v>365</v>
      </c>
      <c r="D10" s="55">
        <f t="shared" si="0"/>
        <v>7300</v>
      </c>
      <c r="E10" s="55">
        <v>11.45</v>
      </c>
      <c r="F10" s="60">
        <f t="shared" si="1"/>
        <v>83585</v>
      </c>
      <c r="G10" s="55">
        <v>20</v>
      </c>
      <c r="H10" s="55">
        <v>365</v>
      </c>
      <c r="I10" s="55">
        <f t="shared" si="2"/>
        <v>7300</v>
      </c>
      <c r="J10" s="55">
        <v>41.54</v>
      </c>
      <c r="K10" s="53">
        <f t="shared" si="3"/>
        <v>303242</v>
      </c>
      <c r="M10" s="32"/>
      <c r="N10" s="62"/>
    </row>
    <row r="11" spans="1:14" x14ac:dyDescent="0.25">
      <c r="A11" s="36" t="s">
        <v>125</v>
      </c>
      <c r="B11" s="55">
        <v>10</v>
      </c>
      <c r="C11" s="55">
        <v>200</v>
      </c>
      <c r="D11" s="55">
        <f t="shared" si="0"/>
        <v>2000</v>
      </c>
      <c r="E11" s="55">
        <v>46.36</v>
      </c>
      <c r="F11" s="60">
        <f t="shared" si="1"/>
        <v>92720</v>
      </c>
      <c r="G11" s="55">
        <v>10</v>
      </c>
      <c r="H11" s="55">
        <v>200</v>
      </c>
      <c r="I11" s="55">
        <f t="shared" si="2"/>
        <v>2000</v>
      </c>
      <c r="J11" s="55">
        <v>41.54</v>
      </c>
      <c r="K11" s="53">
        <f t="shared" si="3"/>
        <v>83080</v>
      </c>
      <c r="M11" s="32"/>
      <c r="N11" s="62"/>
    </row>
    <row r="12" spans="1:14" x14ac:dyDescent="0.25">
      <c r="A12" s="36" t="s">
        <v>126</v>
      </c>
      <c r="B12" s="55">
        <v>10</v>
      </c>
      <c r="C12" s="55">
        <v>365</v>
      </c>
      <c r="D12" s="55">
        <f t="shared" si="0"/>
        <v>3650</v>
      </c>
      <c r="E12" s="63">
        <v>77.400000000000006</v>
      </c>
      <c r="F12" s="60">
        <f t="shared" si="1"/>
        <v>282510</v>
      </c>
      <c r="G12" s="55">
        <v>10</v>
      </c>
      <c r="H12" s="55">
        <v>365</v>
      </c>
      <c r="I12" s="55">
        <f t="shared" si="2"/>
        <v>3650</v>
      </c>
      <c r="J12" s="55">
        <v>41.54</v>
      </c>
      <c r="K12" s="53">
        <f t="shared" si="3"/>
        <v>151621</v>
      </c>
      <c r="M12" s="32"/>
      <c r="N12" s="62"/>
    </row>
    <row r="13" spans="1:14" x14ac:dyDescent="0.25">
      <c r="A13" s="36" t="s">
        <v>127</v>
      </c>
      <c r="B13" s="55">
        <v>15</v>
      </c>
      <c r="C13" s="55">
        <v>280</v>
      </c>
      <c r="D13" s="55">
        <f t="shared" si="0"/>
        <v>4200</v>
      </c>
      <c r="E13" s="63">
        <v>72</v>
      </c>
      <c r="F13" s="60">
        <f t="shared" si="1"/>
        <v>302400</v>
      </c>
      <c r="G13" s="55">
        <v>15</v>
      </c>
      <c r="H13" s="55">
        <v>280</v>
      </c>
      <c r="I13" s="55">
        <f t="shared" si="2"/>
        <v>4200</v>
      </c>
      <c r="J13" s="55">
        <v>41.54</v>
      </c>
      <c r="K13" s="53">
        <f t="shared" si="3"/>
        <v>174468</v>
      </c>
      <c r="M13" s="32"/>
      <c r="N13" s="62"/>
    </row>
    <row r="14" spans="1:14" x14ac:dyDescent="0.25">
      <c r="A14" s="36" t="s">
        <v>128</v>
      </c>
      <c r="B14" s="55">
        <v>10</v>
      </c>
      <c r="C14" s="55">
        <v>215</v>
      </c>
      <c r="D14" s="55">
        <f t="shared" si="0"/>
        <v>2150</v>
      </c>
      <c r="E14" s="63">
        <v>72</v>
      </c>
      <c r="F14" s="60">
        <f t="shared" si="1"/>
        <v>154800</v>
      </c>
      <c r="G14" s="55">
        <v>10</v>
      </c>
      <c r="H14" s="55">
        <v>215</v>
      </c>
      <c r="I14" s="55">
        <f t="shared" si="2"/>
        <v>2150</v>
      </c>
      <c r="J14" s="55">
        <v>41.54</v>
      </c>
      <c r="K14" s="53">
        <f t="shared" si="3"/>
        <v>89311</v>
      </c>
      <c r="M14" s="32"/>
      <c r="N14" s="62"/>
    </row>
    <row r="15" spans="1:14" x14ac:dyDescent="0.25">
      <c r="A15" s="36" t="s">
        <v>129</v>
      </c>
      <c r="B15" s="55">
        <v>20</v>
      </c>
      <c r="C15" s="55">
        <v>365</v>
      </c>
      <c r="D15" s="55">
        <f t="shared" si="0"/>
        <v>7300</v>
      </c>
      <c r="E15" s="55">
        <v>26.68</v>
      </c>
      <c r="F15" s="60">
        <f t="shared" si="1"/>
        <v>194764</v>
      </c>
      <c r="G15" s="55">
        <v>20</v>
      </c>
      <c r="H15" s="55">
        <v>365</v>
      </c>
      <c r="I15" s="55">
        <f t="shared" si="2"/>
        <v>7300</v>
      </c>
      <c r="J15" s="55">
        <v>41.54</v>
      </c>
      <c r="K15" s="53">
        <f t="shared" si="3"/>
        <v>303242</v>
      </c>
      <c r="M15" s="32"/>
      <c r="N15" s="62"/>
    </row>
    <row r="16" spans="1:14" x14ac:dyDescent="0.25">
      <c r="A16" s="36" t="s">
        <v>130</v>
      </c>
      <c r="B16" s="55">
        <v>6</v>
      </c>
      <c r="C16" s="55">
        <v>100</v>
      </c>
      <c r="D16" s="55">
        <f t="shared" si="0"/>
        <v>600</v>
      </c>
      <c r="E16" s="55">
        <v>690.47</v>
      </c>
      <c r="F16" s="60">
        <f t="shared" si="1"/>
        <v>414282</v>
      </c>
      <c r="G16" s="55">
        <v>6</v>
      </c>
      <c r="H16" s="55">
        <v>85</v>
      </c>
      <c r="I16" s="55">
        <f t="shared" si="2"/>
        <v>510</v>
      </c>
      <c r="J16" s="55">
        <v>41.54</v>
      </c>
      <c r="K16" s="53">
        <f t="shared" si="3"/>
        <v>21185.399999999998</v>
      </c>
      <c r="M16" s="32"/>
      <c r="N16" s="62"/>
    </row>
    <row r="17" spans="1:14" x14ac:dyDescent="0.25">
      <c r="A17" s="40" t="s">
        <v>131</v>
      </c>
      <c r="B17" s="64">
        <f>SUM(B7:B15)</f>
        <v>130</v>
      </c>
      <c r="C17" s="64"/>
      <c r="D17" s="64"/>
      <c r="E17" s="64"/>
      <c r="F17" s="65">
        <f>SUM(F7:F16)</f>
        <v>2306398.25</v>
      </c>
      <c r="G17" s="64">
        <f>SUM(G7:G15)</f>
        <v>130</v>
      </c>
      <c r="H17" s="64"/>
      <c r="I17" s="64"/>
      <c r="J17" s="64"/>
      <c r="K17" s="66">
        <f>SUM(K7:K16)</f>
        <v>1808443.9</v>
      </c>
      <c r="N17" s="67"/>
    </row>
    <row r="18" spans="1:14" x14ac:dyDescent="0.25">
      <c r="A18" s="36" t="s">
        <v>132</v>
      </c>
      <c r="B18" s="64"/>
      <c r="C18" s="64"/>
      <c r="D18" s="64"/>
      <c r="E18" s="64"/>
      <c r="F18" s="68">
        <v>50000</v>
      </c>
      <c r="G18" s="69"/>
      <c r="H18" s="64"/>
      <c r="I18" s="64"/>
      <c r="J18" s="64"/>
      <c r="K18" s="66"/>
      <c r="N18" s="67"/>
    </row>
    <row r="19" spans="1:14" ht="30" x14ac:dyDescent="0.25">
      <c r="A19" s="2" t="s">
        <v>133</v>
      </c>
      <c r="B19" s="55"/>
      <c r="C19" s="55"/>
      <c r="D19" s="70">
        <v>54098</v>
      </c>
      <c r="E19" s="55">
        <v>18.78</v>
      </c>
      <c r="F19" s="71">
        <f>D19*E19</f>
        <v>1015960.4400000001</v>
      </c>
      <c r="G19" s="61"/>
      <c r="H19" s="36"/>
      <c r="I19" s="36"/>
      <c r="J19" s="36"/>
      <c r="K19" s="53"/>
    </row>
    <row r="20" spans="1:14" ht="30" x14ac:dyDescent="0.25">
      <c r="A20" s="2" t="s">
        <v>134</v>
      </c>
      <c r="B20" s="55"/>
      <c r="C20" s="55"/>
      <c r="D20" s="70">
        <v>144245</v>
      </c>
      <c r="E20" s="55">
        <v>9.65</v>
      </c>
      <c r="F20" s="71">
        <f>D20*E20</f>
        <v>1391964.25</v>
      </c>
      <c r="G20" s="61"/>
      <c r="H20" s="36"/>
      <c r="I20" s="36"/>
      <c r="J20" s="36"/>
      <c r="K20" s="53"/>
      <c r="N20" s="32"/>
    </row>
    <row r="21" spans="1:14" ht="30" x14ac:dyDescent="0.25">
      <c r="A21" s="2" t="s">
        <v>135</v>
      </c>
      <c r="B21" s="55"/>
      <c r="C21" s="55"/>
      <c r="D21" s="70">
        <v>250</v>
      </c>
      <c r="E21" s="63">
        <v>250</v>
      </c>
      <c r="F21" s="71">
        <f>D21*E21</f>
        <v>62500</v>
      </c>
      <c r="G21" s="235" t="s">
        <v>136</v>
      </c>
      <c r="H21" s="236"/>
      <c r="I21" s="237"/>
      <c r="J21" s="36"/>
      <c r="K21" s="53">
        <v>125000</v>
      </c>
      <c r="N21" s="72"/>
    </row>
    <row r="22" spans="1:14" ht="30" x14ac:dyDescent="0.25">
      <c r="A22" s="2" t="s">
        <v>137</v>
      </c>
      <c r="B22" s="55"/>
      <c r="C22" s="55"/>
      <c r="D22" s="70"/>
      <c r="E22" s="55"/>
      <c r="F22" s="60">
        <v>98000</v>
      </c>
      <c r="G22" s="61"/>
      <c r="H22" s="36"/>
      <c r="I22" s="36"/>
      <c r="J22" s="36"/>
      <c r="K22" s="53"/>
      <c r="N22" s="32"/>
    </row>
    <row r="23" spans="1:14" ht="30" x14ac:dyDescent="0.25">
      <c r="A23" s="2" t="s">
        <v>138</v>
      </c>
      <c r="B23" s="55"/>
      <c r="C23" s="55"/>
      <c r="D23" s="70">
        <v>19902</v>
      </c>
      <c r="E23" s="55">
        <v>30.75</v>
      </c>
      <c r="F23" s="60">
        <f>D23*E23</f>
        <v>611986.5</v>
      </c>
      <c r="G23" s="61"/>
      <c r="H23" s="36"/>
      <c r="I23" s="36"/>
      <c r="J23" s="36"/>
      <c r="K23" s="145"/>
      <c r="N23" s="32"/>
    </row>
    <row r="24" spans="1:14" ht="30" x14ac:dyDescent="0.25">
      <c r="A24" s="2" t="s">
        <v>139</v>
      </c>
      <c r="B24" s="55"/>
      <c r="C24" s="55"/>
      <c r="D24" s="70">
        <v>7846</v>
      </c>
      <c r="E24" s="55">
        <v>12.19</v>
      </c>
      <c r="F24" s="60">
        <f>D24*E24</f>
        <v>95642.739999999991</v>
      </c>
      <c r="G24" s="61"/>
      <c r="H24" s="36"/>
      <c r="I24" s="36"/>
      <c r="J24" s="36"/>
      <c r="K24" s="53"/>
      <c r="N24" s="32"/>
    </row>
    <row r="25" spans="1:14" x14ac:dyDescent="0.25">
      <c r="A25" s="2" t="s">
        <v>140</v>
      </c>
      <c r="B25" s="55"/>
      <c r="C25" s="55"/>
      <c r="D25" s="55"/>
      <c r="E25" s="55"/>
      <c r="F25" s="60">
        <v>95000</v>
      </c>
      <c r="G25" s="61"/>
      <c r="H25" s="36"/>
      <c r="I25" s="36"/>
      <c r="J25" s="36"/>
      <c r="K25" s="53"/>
      <c r="N25" s="32"/>
    </row>
    <row r="26" spans="1:14" x14ac:dyDescent="0.25">
      <c r="A26" s="40" t="s">
        <v>131</v>
      </c>
      <c r="B26" s="55"/>
      <c r="C26" s="55"/>
      <c r="D26" s="55"/>
      <c r="E26" s="55"/>
      <c r="F26" s="73">
        <f>SUM(F19:F25)</f>
        <v>3371053.9299999997</v>
      </c>
      <c r="G26" s="61"/>
      <c r="H26" s="36"/>
      <c r="I26" s="36"/>
      <c r="J26" s="36"/>
      <c r="K26" s="53"/>
      <c r="N26" s="32"/>
    </row>
    <row r="27" spans="1:14" x14ac:dyDescent="0.25">
      <c r="A27" s="40" t="s">
        <v>141</v>
      </c>
      <c r="B27" s="55"/>
      <c r="C27" s="55"/>
      <c r="D27" s="55"/>
      <c r="E27" s="55"/>
      <c r="F27" s="73">
        <f>F17+F26</f>
        <v>5677452.1799999997</v>
      </c>
      <c r="G27" s="61"/>
      <c r="H27" s="36"/>
      <c r="I27" s="36"/>
      <c r="J27" s="36"/>
      <c r="K27" s="66">
        <f>K21+K17+K23</f>
        <v>1933443.9</v>
      </c>
      <c r="N27" s="32"/>
    </row>
    <row r="28" spans="1:14" x14ac:dyDescent="0.25">
      <c r="G28" s="32"/>
    </row>
    <row r="29" spans="1:14" x14ac:dyDescent="0.25">
      <c r="A29" s="74" t="s">
        <v>142</v>
      </c>
      <c r="B29" s="56" t="s">
        <v>143</v>
      </c>
      <c r="C29" s="234" t="s">
        <v>144</v>
      </c>
      <c r="D29" s="234"/>
      <c r="G29" s="32" t="s">
        <v>143</v>
      </c>
      <c r="H29" s="234" t="s">
        <v>144</v>
      </c>
      <c r="I29" s="234"/>
    </row>
    <row r="30" spans="1:14" x14ac:dyDescent="0.25">
      <c r="A30" s="75" t="s">
        <v>145</v>
      </c>
      <c r="B30" s="76">
        <v>0.42</v>
      </c>
      <c r="C30" s="233">
        <f>$F$27*B30</f>
        <v>2384529.9155999999</v>
      </c>
      <c r="D30" s="233"/>
      <c r="G30" s="77">
        <v>0.32</v>
      </c>
      <c r="H30" s="233">
        <f>$K$27*G30</f>
        <v>618702.04799999995</v>
      </c>
      <c r="I30" s="233"/>
    </row>
    <row r="31" spans="1:14" x14ac:dyDescent="0.25">
      <c r="A31" s="78" t="s">
        <v>146</v>
      </c>
      <c r="B31" s="76">
        <v>0.03</v>
      </c>
      <c r="C31" s="233">
        <f t="shared" ref="C31:C35" si="4">$F$27*B31</f>
        <v>170323.56539999999</v>
      </c>
      <c r="D31" s="233"/>
      <c r="G31" s="77"/>
      <c r="H31" s="233"/>
      <c r="I31" s="233"/>
    </row>
    <row r="32" spans="1:14" x14ac:dyDescent="0.25">
      <c r="A32" s="75" t="s">
        <v>147</v>
      </c>
      <c r="B32" s="76">
        <v>7.0000000000000007E-2</v>
      </c>
      <c r="C32" s="233">
        <f t="shared" si="4"/>
        <v>397421.65260000003</v>
      </c>
      <c r="D32" s="233"/>
      <c r="G32" s="77"/>
      <c r="H32" s="233"/>
      <c r="I32" s="233"/>
    </row>
    <row r="33" spans="1:9" x14ac:dyDescent="0.25">
      <c r="A33" s="75" t="s">
        <v>148</v>
      </c>
      <c r="B33" s="76">
        <v>0.04</v>
      </c>
      <c r="C33" s="233">
        <f t="shared" si="4"/>
        <v>227098.08719999998</v>
      </c>
      <c r="D33" s="233"/>
      <c r="G33" s="77">
        <v>0.15</v>
      </c>
      <c r="H33" s="233">
        <f>$K$27*G33</f>
        <v>290016.58499999996</v>
      </c>
      <c r="I33" s="233"/>
    </row>
    <row r="34" spans="1:9" x14ac:dyDescent="0.25">
      <c r="A34" s="75" t="s">
        <v>149</v>
      </c>
      <c r="B34" s="76">
        <v>0.1</v>
      </c>
      <c r="C34" s="233">
        <f t="shared" si="4"/>
        <v>567745.21799999999</v>
      </c>
      <c r="D34" s="233"/>
      <c r="G34" s="77"/>
      <c r="H34" s="233"/>
      <c r="I34" s="233"/>
    </row>
    <row r="35" spans="1:9" x14ac:dyDescent="0.25">
      <c r="A35" s="75" t="s">
        <v>150</v>
      </c>
      <c r="B35" s="76">
        <v>0.34</v>
      </c>
      <c r="C35" s="233">
        <f t="shared" si="4"/>
        <v>1930333.7412</v>
      </c>
      <c r="D35" s="233"/>
      <c r="G35" s="77">
        <v>0.53</v>
      </c>
      <c r="H35" s="233">
        <f>$K$27*G35</f>
        <v>1024725.267</v>
      </c>
      <c r="I35" s="233"/>
    </row>
    <row r="36" spans="1:9" x14ac:dyDescent="0.25">
      <c r="A36" s="79"/>
      <c r="B36" s="80"/>
      <c r="C36" s="80"/>
    </row>
    <row r="37" spans="1:9" s="74" customFormat="1" x14ac:dyDescent="0.25">
      <c r="A37" s="56"/>
      <c r="B37" s="81"/>
      <c r="C37" s="81"/>
    </row>
    <row r="38" spans="1:9" x14ac:dyDescent="0.25">
      <c r="A38" s="79"/>
      <c r="B38" s="80"/>
      <c r="C38" s="80"/>
    </row>
    <row r="39" spans="1:9" x14ac:dyDescent="0.25">
      <c r="B39" s="80"/>
      <c r="C39" s="80"/>
    </row>
    <row r="40" spans="1:9" x14ac:dyDescent="0.25">
      <c r="A40" s="79"/>
      <c r="B40" s="82"/>
      <c r="C40" s="82"/>
    </row>
  </sheetData>
  <mergeCells count="20">
    <mergeCell ref="G21:I21"/>
    <mergeCell ref="H1:K1"/>
    <mergeCell ref="H2:K2"/>
    <mergeCell ref="A3:K3"/>
    <mergeCell ref="B4:F4"/>
    <mergeCell ref="G4:K4"/>
    <mergeCell ref="C29:D29"/>
    <mergeCell ref="H29:I29"/>
    <mergeCell ref="C30:D30"/>
    <mergeCell ref="H30:I30"/>
    <mergeCell ref="C31:D31"/>
    <mergeCell ref="H31:I31"/>
    <mergeCell ref="C35:D35"/>
    <mergeCell ref="H35:I35"/>
    <mergeCell ref="C32:D32"/>
    <mergeCell ref="H32:I32"/>
    <mergeCell ref="C33:D33"/>
    <mergeCell ref="H33:I33"/>
    <mergeCell ref="C34:D34"/>
    <mergeCell ref="H34:I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16A8F-390C-4214-9222-B5C7900EDC1A}">
  <dimension ref="A2:F189"/>
  <sheetViews>
    <sheetView tabSelected="1" topLeftCell="A163" workbookViewId="0">
      <selection activeCell="J189" sqref="J189"/>
    </sheetView>
  </sheetViews>
  <sheetFormatPr defaultRowHeight="15" x14ac:dyDescent="0.25"/>
  <cols>
    <col min="1" max="1" width="42" style="32" customWidth="1"/>
    <col min="2" max="2" width="15.140625" style="45" customWidth="1"/>
    <col min="3" max="3" width="14" style="45" customWidth="1"/>
    <col min="4" max="4" width="13.85546875" style="45" customWidth="1"/>
    <col min="5" max="5" width="14.28515625" style="45" customWidth="1"/>
    <col min="6" max="6" width="14.140625" style="45" customWidth="1"/>
    <col min="7" max="16384" width="9.140625" style="32"/>
  </cols>
  <sheetData>
    <row r="2" spans="1:6" ht="20.25" x14ac:dyDescent="0.3">
      <c r="A2" s="229" t="s">
        <v>151</v>
      </c>
      <c r="B2" s="229"/>
      <c r="C2" s="229"/>
      <c r="D2" s="229"/>
      <c r="E2" s="229"/>
      <c r="F2" s="229"/>
    </row>
    <row r="3" spans="1:6" ht="15.75" thickBot="1" x14ac:dyDescent="0.3"/>
    <row r="4" spans="1:6" x14ac:dyDescent="0.25">
      <c r="A4" s="83" t="s">
        <v>152</v>
      </c>
      <c r="B4" s="84" t="s">
        <v>7</v>
      </c>
      <c r="C4" s="84" t="s">
        <v>3</v>
      </c>
      <c r="D4" s="84" t="s">
        <v>4</v>
      </c>
      <c r="E4" s="84" t="s">
        <v>5</v>
      </c>
      <c r="F4" s="85" t="s">
        <v>6</v>
      </c>
    </row>
    <row r="5" spans="1:6" s="89" customFormat="1" ht="39.75" customHeight="1" x14ac:dyDescent="0.25">
      <c r="A5" s="86" t="s">
        <v>153</v>
      </c>
      <c r="B5" s="87">
        <f t="shared" ref="B5:F5" si="0">SUM(B6,B11,B16,B21,B26,B31)</f>
        <v>47369024.199999996</v>
      </c>
      <c r="C5" s="87">
        <f t="shared" si="0"/>
        <v>11834285.209999997</v>
      </c>
      <c r="D5" s="87">
        <f t="shared" si="0"/>
        <v>11918893.809999999</v>
      </c>
      <c r="E5" s="87">
        <f t="shared" si="0"/>
        <v>12143232.860000001</v>
      </c>
      <c r="F5" s="88">
        <f t="shared" si="0"/>
        <v>11472612.319999998</v>
      </c>
    </row>
    <row r="6" spans="1:6" s="43" customFormat="1" ht="14.25" x14ac:dyDescent="0.2">
      <c r="A6" s="146" t="s">
        <v>154</v>
      </c>
      <c r="B6" s="91">
        <f>SUM(C6:F6)</f>
        <v>393839.12</v>
      </c>
      <c r="C6" s="91">
        <f>SUM(C7:C10)</f>
        <v>91103.37</v>
      </c>
      <c r="D6" s="91">
        <f t="shared" ref="D6:F6" si="1">SUM(D7:D10)</f>
        <v>116470.72</v>
      </c>
      <c r="E6" s="91">
        <f t="shared" si="1"/>
        <v>92958.670000000013</v>
      </c>
      <c r="F6" s="92">
        <f t="shared" si="1"/>
        <v>93306.36</v>
      </c>
    </row>
    <row r="7" spans="1:6" x14ac:dyDescent="0.25">
      <c r="A7" s="147" t="s">
        <v>155</v>
      </c>
      <c r="B7" s="94">
        <f t="shared" ref="B7:B10" si="2">SUM(C7:F7)</f>
        <v>342671.17</v>
      </c>
      <c r="C7" s="35">
        <v>91103.37</v>
      </c>
      <c r="D7" s="35">
        <v>79021.23</v>
      </c>
      <c r="E7" s="35">
        <v>79240.210000000006</v>
      </c>
      <c r="F7" s="95">
        <v>93306.36</v>
      </c>
    </row>
    <row r="8" spans="1:6" x14ac:dyDescent="0.25">
      <c r="A8" s="147" t="s">
        <v>156</v>
      </c>
      <c r="B8" s="94">
        <f t="shared" si="2"/>
        <v>13718.46</v>
      </c>
      <c r="C8" s="35"/>
      <c r="D8" s="35"/>
      <c r="E8" s="35">
        <v>13718.46</v>
      </c>
      <c r="F8" s="95"/>
    </row>
    <row r="9" spans="1:6" x14ac:dyDescent="0.25">
      <c r="A9" s="147" t="s">
        <v>157</v>
      </c>
      <c r="B9" s="94">
        <f t="shared" si="2"/>
        <v>23824.55</v>
      </c>
      <c r="C9" s="35"/>
      <c r="D9" s="35">
        <v>23824.55</v>
      </c>
      <c r="E9" s="35"/>
      <c r="F9" s="95"/>
    </row>
    <row r="10" spans="1:6" x14ac:dyDescent="0.25">
      <c r="A10" s="147" t="s">
        <v>158</v>
      </c>
      <c r="B10" s="94">
        <f t="shared" si="2"/>
        <v>13624.94</v>
      </c>
      <c r="C10" s="35"/>
      <c r="D10" s="35">
        <v>13624.94</v>
      </c>
      <c r="E10" s="35"/>
      <c r="F10" s="95"/>
    </row>
    <row r="11" spans="1:6" s="98" customFormat="1" ht="14.25" x14ac:dyDescent="0.2">
      <c r="A11" s="148" t="s">
        <v>159</v>
      </c>
      <c r="B11" s="96">
        <f>SUM(B12:B15)</f>
        <v>14431184.739999998</v>
      </c>
      <c r="C11" s="96">
        <f>SUM(C12:C15)</f>
        <v>3643501.6999999997</v>
      </c>
      <c r="D11" s="96">
        <f t="shared" ref="D11:F11" si="3">SUM(D12:D15)</f>
        <v>3611475.9699999997</v>
      </c>
      <c r="E11" s="96">
        <f t="shared" si="3"/>
        <v>3695055.35</v>
      </c>
      <c r="F11" s="97">
        <f t="shared" si="3"/>
        <v>3481151.7199999997</v>
      </c>
    </row>
    <row r="12" spans="1:6" x14ac:dyDescent="0.25">
      <c r="A12" s="147" t="s">
        <v>155</v>
      </c>
      <c r="B12" s="35">
        <f>SUM(C12:F12)</f>
        <v>5809655.3299999991</v>
      </c>
      <c r="C12" s="35">
        <v>1672454.69</v>
      </c>
      <c r="D12" s="35">
        <v>1197027.24</v>
      </c>
      <c r="E12" s="35">
        <v>1325040.43</v>
      </c>
      <c r="F12" s="95">
        <v>1615132.97</v>
      </c>
    </row>
    <row r="13" spans="1:6" x14ac:dyDescent="0.25">
      <c r="A13" s="147" t="s">
        <v>156</v>
      </c>
      <c r="B13" s="35">
        <f t="shared" ref="B13:B15" si="4">SUM(C13:F13)</f>
        <v>6528813.7699999996</v>
      </c>
      <c r="C13" s="35">
        <v>1762124.21</v>
      </c>
      <c r="D13" s="35">
        <v>1537618.65</v>
      </c>
      <c r="E13" s="35">
        <v>1593863.74</v>
      </c>
      <c r="F13" s="95">
        <v>1635207.17</v>
      </c>
    </row>
    <row r="14" spans="1:6" x14ac:dyDescent="0.25">
      <c r="A14" s="147" t="s">
        <v>157</v>
      </c>
      <c r="B14" s="35">
        <f t="shared" si="4"/>
        <v>414517.74999999994</v>
      </c>
      <c r="C14" s="35">
        <v>49323.15</v>
      </c>
      <c r="D14" s="35">
        <v>129040.06</v>
      </c>
      <c r="E14" s="35">
        <v>176219.62</v>
      </c>
      <c r="F14" s="95">
        <v>59934.92</v>
      </c>
    </row>
    <row r="15" spans="1:6" x14ac:dyDescent="0.25">
      <c r="A15" s="147" t="s">
        <v>158</v>
      </c>
      <c r="B15" s="35">
        <f t="shared" si="4"/>
        <v>1678197.89</v>
      </c>
      <c r="C15" s="35">
        <v>159599.65</v>
      </c>
      <c r="D15" s="35">
        <v>747790.02</v>
      </c>
      <c r="E15" s="35">
        <v>599931.56000000006</v>
      </c>
      <c r="F15" s="95">
        <v>170876.66</v>
      </c>
    </row>
    <row r="16" spans="1:6" s="98" customFormat="1" ht="14.25" x14ac:dyDescent="0.2">
      <c r="A16" s="148" t="s">
        <v>160</v>
      </c>
      <c r="B16" s="96">
        <f>SUM(B17:B20)</f>
        <v>18805164.75</v>
      </c>
      <c r="C16" s="96">
        <f>SUM(C17:C20)</f>
        <v>4688628.3199999994</v>
      </c>
      <c r="D16" s="96">
        <f t="shared" ref="D16:F16" si="5">SUM(D17:D20)</f>
        <v>4604207.82</v>
      </c>
      <c r="E16" s="96">
        <f t="shared" si="5"/>
        <v>4932106.04</v>
      </c>
      <c r="F16" s="97">
        <f t="shared" si="5"/>
        <v>4580222.5699999994</v>
      </c>
    </row>
    <row r="17" spans="1:6" x14ac:dyDescent="0.25">
      <c r="A17" s="147" t="s">
        <v>155</v>
      </c>
      <c r="B17" s="35">
        <f>SUM(C17:F17)</f>
        <v>7636056.2800000003</v>
      </c>
      <c r="C17" s="35">
        <v>2207726.2000000002</v>
      </c>
      <c r="D17" s="35">
        <v>1652256.75</v>
      </c>
      <c r="E17" s="35">
        <v>1610082.37</v>
      </c>
      <c r="F17" s="95">
        <v>2165990.96</v>
      </c>
    </row>
    <row r="18" spans="1:6" x14ac:dyDescent="0.25">
      <c r="A18" s="147" t="s">
        <v>156</v>
      </c>
      <c r="B18" s="35">
        <f t="shared" ref="B18:B20" si="6">SUM(C18:F18)</f>
        <v>8485659.0399999991</v>
      </c>
      <c r="C18" s="35">
        <v>2180792.98</v>
      </c>
      <c r="D18" s="35">
        <v>2045868.28</v>
      </c>
      <c r="E18" s="35">
        <v>2087872.48</v>
      </c>
      <c r="F18" s="95">
        <v>2171125.2999999998</v>
      </c>
    </row>
    <row r="19" spans="1:6" x14ac:dyDescent="0.25">
      <c r="A19" s="147" t="s">
        <v>157</v>
      </c>
      <c r="B19" s="35">
        <f t="shared" si="6"/>
        <v>567286</v>
      </c>
      <c r="C19" s="35">
        <v>81687.600000000006</v>
      </c>
      <c r="D19" s="35">
        <v>146600.28</v>
      </c>
      <c r="E19" s="35">
        <v>277820.44</v>
      </c>
      <c r="F19" s="95">
        <v>61177.68</v>
      </c>
    </row>
    <row r="20" spans="1:6" x14ac:dyDescent="0.25">
      <c r="A20" s="147" t="s">
        <v>158</v>
      </c>
      <c r="B20" s="35">
        <f t="shared" si="6"/>
        <v>2116163.4300000002</v>
      </c>
      <c r="C20" s="35">
        <v>218421.54</v>
      </c>
      <c r="D20" s="35">
        <v>759482.51</v>
      </c>
      <c r="E20" s="35">
        <v>956330.75</v>
      </c>
      <c r="F20" s="95">
        <v>181928.63</v>
      </c>
    </row>
    <row r="21" spans="1:6" s="98" customFormat="1" ht="14.25" x14ac:dyDescent="0.2">
      <c r="A21" s="148" t="s">
        <v>161</v>
      </c>
      <c r="B21" s="96">
        <f>SUM(B22:B25)</f>
        <v>7320073.3700000001</v>
      </c>
      <c r="C21" s="96">
        <f>SUM(C22:C25)</f>
        <v>1776103.7</v>
      </c>
      <c r="D21" s="96">
        <f t="shared" ref="D21:F21" si="7">SUM(D22:D25)</f>
        <v>1914944.06</v>
      </c>
      <c r="E21" s="96">
        <f t="shared" si="7"/>
        <v>1911834.49</v>
      </c>
      <c r="F21" s="97">
        <f t="shared" si="7"/>
        <v>1717191.1199999999</v>
      </c>
    </row>
    <row r="22" spans="1:6" x14ac:dyDescent="0.25">
      <c r="A22" s="147" t="s">
        <v>155</v>
      </c>
      <c r="B22" s="35">
        <f>SUM(C22:F22)</f>
        <v>5921635.6499999994</v>
      </c>
      <c r="C22" s="35">
        <v>1584016.16</v>
      </c>
      <c r="D22" s="35">
        <v>1374942.52</v>
      </c>
      <c r="E22" s="35">
        <v>1404358.34</v>
      </c>
      <c r="F22" s="95">
        <v>1558318.63</v>
      </c>
    </row>
    <row r="23" spans="1:6" x14ac:dyDescent="0.25">
      <c r="A23" s="147" t="s">
        <v>156</v>
      </c>
      <c r="B23" s="35">
        <f t="shared" ref="B23:B25" si="8">SUM(C23:F23)</f>
        <v>760552.6100000001</v>
      </c>
      <c r="C23" s="35">
        <v>142797.82999999999</v>
      </c>
      <c r="D23" s="35">
        <v>265978.19</v>
      </c>
      <c r="E23" s="35">
        <v>261207.67</v>
      </c>
      <c r="F23" s="95">
        <v>90568.92</v>
      </c>
    </row>
    <row r="24" spans="1:6" x14ac:dyDescent="0.25">
      <c r="A24" s="147" t="s">
        <v>157</v>
      </c>
      <c r="B24" s="35">
        <f t="shared" si="8"/>
        <v>0</v>
      </c>
      <c r="C24" s="35"/>
      <c r="D24" s="35"/>
      <c r="E24" s="35"/>
      <c r="F24" s="95"/>
    </row>
    <row r="25" spans="1:6" x14ac:dyDescent="0.25">
      <c r="A25" s="147" t="s">
        <v>158</v>
      </c>
      <c r="B25" s="35">
        <f t="shared" si="8"/>
        <v>637885.1100000001</v>
      </c>
      <c r="C25" s="35">
        <v>49289.71</v>
      </c>
      <c r="D25" s="35">
        <v>274023.34999999998</v>
      </c>
      <c r="E25" s="35">
        <v>246268.48</v>
      </c>
      <c r="F25" s="95">
        <v>68303.570000000007</v>
      </c>
    </row>
    <row r="26" spans="1:6" s="98" customFormat="1" ht="14.25" x14ac:dyDescent="0.2">
      <c r="A26" s="148" t="s">
        <v>162</v>
      </c>
      <c r="B26" s="96">
        <f>SUM(C26:F26)</f>
        <v>954287.98</v>
      </c>
      <c r="C26" s="96">
        <f>SUM(C27:C30)</f>
        <v>248294.91</v>
      </c>
      <c r="D26" s="96">
        <f t="shared" ref="D26:F26" si="9">SUM(D27:D30)</f>
        <v>257102.62</v>
      </c>
      <c r="E26" s="96">
        <f t="shared" si="9"/>
        <v>223908.73</v>
      </c>
      <c r="F26" s="97">
        <f t="shared" si="9"/>
        <v>224981.71999999997</v>
      </c>
    </row>
    <row r="27" spans="1:6" x14ac:dyDescent="0.25">
      <c r="A27" s="147" t="s">
        <v>155</v>
      </c>
      <c r="B27" s="35">
        <f>SUM(C27:F27)</f>
        <v>621584.96</v>
      </c>
      <c r="C27" s="35">
        <v>153747.29</v>
      </c>
      <c r="D27" s="35">
        <v>166010.60999999999</v>
      </c>
      <c r="E27" s="35">
        <v>128346.48</v>
      </c>
      <c r="F27" s="95">
        <v>173480.58</v>
      </c>
    </row>
    <row r="28" spans="1:6" x14ac:dyDescent="0.25">
      <c r="A28" s="147" t="s">
        <v>156</v>
      </c>
      <c r="B28" s="35">
        <f t="shared" ref="B28:B30" si="10">SUM(C28:F28)</f>
        <v>213253.45</v>
      </c>
      <c r="C28" s="35">
        <v>51434.68</v>
      </c>
      <c r="D28" s="35">
        <v>68937.350000000006</v>
      </c>
      <c r="E28" s="35">
        <v>44639.72</v>
      </c>
      <c r="F28" s="95">
        <v>48241.7</v>
      </c>
    </row>
    <row r="29" spans="1:6" x14ac:dyDescent="0.25">
      <c r="A29" s="147" t="s">
        <v>157</v>
      </c>
      <c r="B29" s="35">
        <f t="shared" si="10"/>
        <v>47325.49</v>
      </c>
      <c r="C29" s="35">
        <v>18709.349999999999</v>
      </c>
      <c r="D29" s="35">
        <v>65.09</v>
      </c>
      <c r="E29" s="35">
        <v>28551.05</v>
      </c>
      <c r="F29" s="95"/>
    </row>
    <row r="30" spans="1:6" x14ac:dyDescent="0.25">
      <c r="A30" s="147" t="s">
        <v>158</v>
      </c>
      <c r="B30" s="35">
        <f t="shared" si="10"/>
        <v>72124.08</v>
      </c>
      <c r="C30" s="35">
        <v>24403.59</v>
      </c>
      <c r="D30" s="35">
        <v>22089.57</v>
      </c>
      <c r="E30" s="35">
        <v>22371.48</v>
      </c>
      <c r="F30" s="95">
        <v>3259.44</v>
      </c>
    </row>
    <row r="31" spans="1:6" s="98" customFormat="1" ht="14.25" x14ac:dyDescent="0.2">
      <c r="A31" s="148" t="s">
        <v>163</v>
      </c>
      <c r="B31" s="96">
        <f>SUM(B32:B35)</f>
        <v>5464474.2399999993</v>
      </c>
      <c r="C31" s="96">
        <f>SUM(C32:C35)</f>
        <v>1386653.21</v>
      </c>
      <c r="D31" s="96">
        <f t="shared" ref="D31:F31" si="11">SUM(D32:D35)</f>
        <v>1414692.6199999999</v>
      </c>
      <c r="E31" s="96">
        <f t="shared" si="11"/>
        <v>1287369.5799999998</v>
      </c>
      <c r="F31" s="97">
        <f t="shared" si="11"/>
        <v>1375758.8300000003</v>
      </c>
    </row>
    <row r="32" spans="1:6" x14ac:dyDescent="0.25">
      <c r="A32" s="147" t="s">
        <v>155</v>
      </c>
      <c r="B32" s="35">
        <f>SUM(C32:F32)</f>
        <v>2645599.96</v>
      </c>
      <c r="C32" s="35">
        <v>692842.51</v>
      </c>
      <c r="D32" s="35">
        <v>659203.44999999995</v>
      </c>
      <c r="E32" s="35">
        <v>595524.86</v>
      </c>
      <c r="F32" s="95">
        <v>698029.14</v>
      </c>
    </row>
    <row r="33" spans="1:6" x14ac:dyDescent="0.25">
      <c r="A33" s="147" t="s">
        <v>156</v>
      </c>
      <c r="B33" s="35">
        <f t="shared" ref="B33:B35" si="12">SUM(C33:F33)</f>
        <v>2296974.6799999997</v>
      </c>
      <c r="C33" s="35">
        <v>622903.87</v>
      </c>
      <c r="D33" s="35">
        <v>615473.72</v>
      </c>
      <c r="E33" s="35">
        <v>436943.8</v>
      </c>
      <c r="F33" s="95">
        <v>621653.29</v>
      </c>
    </row>
    <row r="34" spans="1:6" x14ac:dyDescent="0.25">
      <c r="A34" s="147" t="s">
        <v>157</v>
      </c>
      <c r="B34" s="35">
        <f t="shared" si="12"/>
        <v>84967</v>
      </c>
      <c r="C34" s="35">
        <v>5032</v>
      </c>
      <c r="D34" s="35">
        <v>31712.21</v>
      </c>
      <c r="E34" s="35">
        <v>29496.240000000002</v>
      </c>
      <c r="F34" s="95">
        <v>18726.55</v>
      </c>
    </row>
    <row r="35" spans="1:6" ht="15.75" thickBot="1" x14ac:dyDescent="0.3">
      <c r="A35" s="149" t="s">
        <v>158</v>
      </c>
      <c r="B35" s="100">
        <f t="shared" si="12"/>
        <v>436932.6</v>
      </c>
      <c r="C35" s="100">
        <v>65874.83</v>
      </c>
      <c r="D35" s="100">
        <v>108303.24</v>
      </c>
      <c r="E35" s="100">
        <v>225404.68</v>
      </c>
      <c r="F35" s="101">
        <v>37349.85</v>
      </c>
    </row>
    <row r="36" spans="1:6" s="43" customFormat="1" ht="14.25" x14ac:dyDescent="0.2">
      <c r="A36" s="102" t="s">
        <v>164</v>
      </c>
      <c r="B36" s="103">
        <f>SUM(B37:B42)</f>
        <v>10191080.838499999</v>
      </c>
      <c r="C36" s="103">
        <f>SUM(C37:C42)</f>
        <v>2546068.3115500002</v>
      </c>
      <c r="D36" s="103">
        <f t="shared" ref="D36:F36" si="13">SUM(D37:D42)</f>
        <v>2564430.0358500001</v>
      </c>
      <c r="E36" s="103">
        <f t="shared" si="13"/>
        <v>2612379.4018999999</v>
      </c>
      <c r="F36" s="104">
        <f t="shared" si="13"/>
        <v>2468203.0891999998</v>
      </c>
    </row>
    <row r="37" spans="1:6" x14ac:dyDescent="0.25">
      <c r="A37" s="147" t="s">
        <v>154</v>
      </c>
      <c r="B37" s="35">
        <f>SUM(C37:F37)</f>
        <v>86644.606400000004</v>
      </c>
      <c r="C37" s="35">
        <f t="shared" ref="C37:F37" si="14">C6*22%</f>
        <v>20042.741399999999</v>
      </c>
      <c r="D37" s="35">
        <f t="shared" si="14"/>
        <v>25623.558400000002</v>
      </c>
      <c r="E37" s="35">
        <f t="shared" si="14"/>
        <v>20450.907400000004</v>
      </c>
      <c r="F37" s="95">
        <f t="shared" si="14"/>
        <v>20527.3992</v>
      </c>
    </row>
    <row r="38" spans="1:6" x14ac:dyDescent="0.25">
      <c r="A38" s="147" t="s">
        <v>159</v>
      </c>
      <c r="B38" s="35">
        <f t="shared" ref="B38:B42" si="15">SUM(C38:F38)</f>
        <v>3102704.7190999999</v>
      </c>
      <c r="C38" s="35">
        <f>C11*21.5%</f>
        <v>783352.86549999996</v>
      </c>
      <c r="D38" s="35">
        <f t="shared" ref="D38:F38" si="16">D11*21.5%</f>
        <v>776467.33354999998</v>
      </c>
      <c r="E38" s="35">
        <f t="shared" si="16"/>
        <v>794436.90025000006</v>
      </c>
      <c r="F38" s="95">
        <f t="shared" si="16"/>
        <v>748447.61979999999</v>
      </c>
    </row>
    <row r="39" spans="1:6" x14ac:dyDescent="0.25">
      <c r="A39" s="147" t="s">
        <v>160</v>
      </c>
      <c r="B39" s="35">
        <f t="shared" si="15"/>
        <v>4043110.4212499997</v>
      </c>
      <c r="C39" s="35">
        <f>C16*21.5%</f>
        <v>1008055.0887999998</v>
      </c>
      <c r="D39" s="35">
        <f t="shared" ref="D39:F39" si="17">D16*21.5%</f>
        <v>989904.68130000005</v>
      </c>
      <c r="E39" s="35">
        <f t="shared" si="17"/>
        <v>1060402.7986000001</v>
      </c>
      <c r="F39" s="95">
        <f t="shared" si="17"/>
        <v>984747.85254999984</v>
      </c>
    </row>
    <row r="40" spans="1:6" x14ac:dyDescent="0.25">
      <c r="A40" s="147" t="s">
        <v>161</v>
      </c>
      <c r="B40" s="35">
        <f t="shared" si="15"/>
        <v>1573815.7745499997</v>
      </c>
      <c r="C40" s="35">
        <f>C21*21.5%</f>
        <v>381862.29550000001</v>
      </c>
      <c r="D40" s="35">
        <f t="shared" ref="D40:F40" si="18">D21*21.5%</f>
        <v>411712.97289999999</v>
      </c>
      <c r="E40" s="35">
        <f t="shared" si="18"/>
        <v>411044.41534999997</v>
      </c>
      <c r="F40" s="95">
        <f t="shared" si="18"/>
        <v>369196.09079999995</v>
      </c>
    </row>
    <row r="41" spans="1:6" x14ac:dyDescent="0.25">
      <c r="A41" s="147" t="s">
        <v>162</v>
      </c>
      <c r="B41" s="35">
        <f t="shared" si="15"/>
        <v>209943.35560000001</v>
      </c>
      <c r="C41" s="35">
        <f t="shared" ref="C41:F41" si="19">C26*22%</f>
        <v>54624.8802</v>
      </c>
      <c r="D41" s="35">
        <f t="shared" si="19"/>
        <v>56562.576399999998</v>
      </c>
      <c r="E41" s="35">
        <f t="shared" si="19"/>
        <v>49259.920600000005</v>
      </c>
      <c r="F41" s="95">
        <f t="shared" si="19"/>
        <v>49495.978399999993</v>
      </c>
    </row>
    <row r="42" spans="1:6" ht="15.75" thickBot="1" x14ac:dyDescent="0.3">
      <c r="A42" s="149" t="s">
        <v>163</v>
      </c>
      <c r="B42" s="100">
        <f t="shared" si="15"/>
        <v>1174861.9615999998</v>
      </c>
      <c r="C42" s="100">
        <f>C31*21.5%</f>
        <v>298130.44014999998</v>
      </c>
      <c r="D42" s="100">
        <f t="shared" ref="D42:F42" si="20">D31*21.5%</f>
        <v>304158.91329999996</v>
      </c>
      <c r="E42" s="100">
        <f t="shared" si="20"/>
        <v>276784.45969999995</v>
      </c>
      <c r="F42" s="101">
        <f t="shared" si="20"/>
        <v>295788.14845000004</v>
      </c>
    </row>
    <row r="43" spans="1:6" s="43" customFormat="1" ht="14.25" x14ac:dyDescent="0.2">
      <c r="A43" s="105" t="s">
        <v>165</v>
      </c>
      <c r="B43" s="106">
        <f>SUM(B53,B49,B44)</f>
        <v>5813813.1484249998</v>
      </c>
      <c r="C43" s="106">
        <f t="shared" ref="C43:F43" si="21">SUM(C53,C49,C44)</f>
        <v>1509930.52</v>
      </c>
      <c r="D43" s="106">
        <f t="shared" si="21"/>
        <v>1535963.0694750003</v>
      </c>
      <c r="E43" s="106">
        <f t="shared" si="21"/>
        <v>1363959.7794750002</v>
      </c>
      <c r="F43" s="107">
        <f t="shared" si="21"/>
        <v>1403959.7794750002</v>
      </c>
    </row>
    <row r="44" spans="1:6" s="43" customFormat="1" ht="14.25" x14ac:dyDescent="0.2">
      <c r="A44" s="90" t="s">
        <v>166</v>
      </c>
      <c r="B44" s="91">
        <f t="shared" ref="B44:F44" si="22">SUM(B45:B48)</f>
        <v>4291486.138425</v>
      </c>
      <c r="C44" s="91">
        <f t="shared" si="22"/>
        <v>1114093.6800000002</v>
      </c>
      <c r="D44" s="91">
        <f t="shared" si="22"/>
        <v>1128952.1794750001</v>
      </c>
      <c r="E44" s="91">
        <f t="shared" si="22"/>
        <v>1004220.1394750001</v>
      </c>
      <c r="F44" s="92">
        <f t="shared" si="22"/>
        <v>1044220.1394750001</v>
      </c>
    </row>
    <row r="45" spans="1:6" x14ac:dyDescent="0.25">
      <c r="A45" s="150" t="s">
        <v>167</v>
      </c>
      <c r="B45" s="35">
        <f>SUM(C45:F45)</f>
        <v>206506.79842499999</v>
      </c>
      <c r="C45" s="35">
        <v>79621.919999999998</v>
      </c>
      <c r="D45" s="35">
        <f>[1]МедПрод!$C$31/4</f>
        <v>42294.959474999996</v>
      </c>
      <c r="E45" s="35">
        <f>[1]МедПрод!$C$31/4</f>
        <v>42294.959474999996</v>
      </c>
      <c r="F45" s="95">
        <f>[1]МедПрод!$C$31/4</f>
        <v>42294.959474999996</v>
      </c>
    </row>
    <row r="46" spans="1:6" x14ac:dyDescent="0.25">
      <c r="A46" s="150" t="s">
        <v>168</v>
      </c>
      <c r="B46" s="35">
        <f>SUM(C46:F46)</f>
        <v>2959033.43</v>
      </c>
      <c r="C46" s="35">
        <v>403053.64</v>
      </c>
      <c r="D46" s="35">
        <v>592129.43000000005</v>
      </c>
      <c r="E46" s="35">
        <v>961925.18</v>
      </c>
      <c r="F46" s="35">
        <v>1001925.18</v>
      </c>
    </row>
    <row r="47" spans="1:6" x14ac:dyDescent="0.25">
      <c r="A47" s="150" t="s">
        <v>150</v>
      </c>
      <c r="B47" s="35">
        <f t="shared" ref="B47:B48" si="23">SUM(C47:F47)</f>
        <v>968667.28</v>
      </c>
      <c r="C47" s="35">
        <v>474139.49</v>
      </c>
      <c r="D47" s="35">
        <v>494527.79</v>
      </c>
      <c r="E47" s="35"/>
      <c r="F47" s="95"/>
    </row>
    <row r="48" spans="1:6" ht="15.75" thickBot="1" x14ac:dyDescent="0.3">
      <c r="A48" s="151" t="s">
        <v>169</v>
      </c>
      <c r="B48" s="35">
        <f t="shared" si="23"/>
        <v>157278.63</v>
      </c>
      <c r="C48" s="100">
        <v>157278.63</v>
      </c>
      <c r="D48" s="100"/>
      <c r="E48" s="100"/>
      <c r="F48" s="101"/>
    </row>
    <row r="49" spans="1:6" x14ac:dyDescent="0.25">
      <c r="A49" s="108" t="s">
        <v>170</v>
      </c>
      <c r="B49" s="109">
        <f>SUM(B50:B52)</f>
        <v>1474424.0100000002</v>
      </c>
      <c r="C49" s="109">
        <f>SUM(C50:C52)</f>
        <v>382548.58999999997</v>
      </c>
      <c r="D49" s="109">
        <f t="shared" ref="D49:F49" si="24">SUM(D50:D52)</f>
        <v>395472.64000000001</v>
      </c>
      <c r="E49" s="109">
        <f t="shared" si="24"/>
        <v>348201.39</v>
      </c>
      <c r="F49" s="110">
        <f t="shared" si="24"/>
        <v>348201.39</v>
      </c>
    </row>
    <row r="50" spans="1:6" x14ac:dyDescent="0.25">
      <c r="A50" s="150" t="s">
        <v>168</v>
      </c>
      <c r="B50" s="111">
        <f>SUM(C50:F50)</f>
        <v>956259.29</v>
      </c>
      <c r="C50" s="35">
        <v>120676.43</v>
      </c>
      <c r="D50" s="35">
        <f>[1]МедПрод!$H$30/4</f>
        <v>139180.08000000002</v>
      </c>
      <c r="E50" s="35">
        <v>348201.39</v>
      </c>
      <c r="F50" s="35">
        <v>348201.39</v>
      </c>
    </row>
    <row r="51" spans="1:6" x14ac:dyDescent="0.25">
      <c r="A51" s="150" t="s">
        <v>150</v>
      </c>
      <c r="B51" s="111">
        <f>SUM(C51:F51)</f>
        <v>418042.62</v>
      </c>
      <c r="C51" s="35">
        <v>161750.06</v>
      </c>
      <c r="D51" s="35">
        <v>256292.56</v>
      </c>
      <c r="E51" s="35"/>
      <c r="F51" s="95"/>
    </row>
    <row r="52" spans="1:6" ht="15.75" thickBot="1" x14ac:dyDescent="0.3">
      <c r="A52" s="151" t="s">
        <v>169</v>
      </c>
      <c r="B52" s="100">
        <f>SUM(C52:F52)</f>
        <v>100122.1</v>
      </c>
      <c r="C52" s="100">
        <v>100122.1</v>
      </c>
      <c r="D52" s="100"/>
      <c r="E52" s="100"/>
      <c r="F52" s="100"/>
    </row>
    <row r="53" spans="1:6" s="43" customFormat="1" ht="14.25" x14ac:dyDescent="0.2">
      <c r="A53" s="108" t="s">
        <v>171</v>
      </c>
      <c r="B53" s="109">
        <f>SUM(B54)</f>
        <v>47903</v>
      </c>
      <c r="C53" s="109">
        <f>SUM(C54)</f>
        <v>13288.25</v>
      </c>
      <c r="D53" s="109">
        <f t="shared" ref="D53:F53" si="25">SUM(D54)</f>
        <v>11538.25</v>
      </c>
      <c r="E53" s="109">
        <f t="shared" si="25"/>
        <v>11538.25</v>
      </c>
      <c r="F53" s="110">
        <f t="shared" si="25"/>
        <v>11538.25</v>
      </c>
    </row>
    <row r="54" spans="1:6" x14ac:dyDescent="0.25">
      <c r="A54" s="112" t="s">
        <v>172</v>
      </c>
      <c r="B54" s="35">
        <f>SUM(C54:F54)</f>
        <v>47903</v>
      </c>
      <c r="C54" s="35">
        <f>SUM(C55:C56)</f>
        <v>13288.25</v>
      </c>
      <c r="D54" s="35">
        <f t="shared" ref="D54:F54" si="26">SUM(D55:D56)</f>
        <v>11538.25</v>
      </c>
      <c r="E54" s="35">
        <f t="shared" si="26"/>
        <v>11538.25</v>
      </c>
      <c r="F54" s="95">
        <f t="shared" si="26"/>
        <v>11538.25</v>
      </c>
    </row>
    <row r="55" spans="1:6" ht="30" x14ac:dyDescent="0.25">
      <c r="A55" s="144" t="s">
        <v>377</v>
      </c>
      <c r="B55" s="114">
        <f>SUM(C55:F55)</f>
        <v>25153</v>
      </c>
      <c r="C55" s="114">
        <v>6288.25</v>
      </c>
      <c r="D55" s="114">
        <v>6288.25</v>
      </c>
      <c r="E55" s="114">
        <v>6288.25</v>
      </c>
      <c r="F55" s="115">
        <v>6288.25</v>
      </c>
    </row>
    <row r="56" spans="1:6" ht="30.75" thickBot="1" x14ac:dyDescent="0.3">
      <c r="A56" s="116" t="s">
        <v>368</v>
      </c>
      <c r="B56" s="117">
        <f>SUM(C56:F56)</f>
        <v>22750</v>
      </c>
      <c r="C56" s="117">
        <v>7000</v>
      </c>
      <c r="D56" s="117">
        <v>5250</v>
      </c>
      <c r="E56" s="117">
        <v>5250</v>
      </c>
      <c r="F56" s="117">
        <v>5250</v>
      </c>
    </row>
    <row r="57" spans="1:6" s="43" customFormat="1" ht="14.25" x14ac:dyDescent="0.2">
      <c r="A57" s="105" t="s">
        <v>173</v>
      </c>
      <c r="B57" s="106">
        <f>SUM(C57:F57)</f>
        <v>15005680.060000001</v>
      </c>
      <c r="C57" s="106">
        <f t="shared" ref="C57:F57" si="27">SUM(C69,C66,C58)</f>
        <v>4045964.79</v>
      </c>
      <c r="D57" s="106">
        <f t="shared" si="27"/>
        <v>3773792.39</v>
      </c>
      <c r="E57" s="106">
        <f t="shared" si="27"/>
        <v>2458230.21</v>
      </c>
      <c r="F57" s="107">
        <f t="shared" si="27"/>
        <v>4727692.67</v>
      </c>
    </row>
    <row r="58" spans="1:6" s="43" customFormat="1" ht="14.25" x14ac:dyDescent="0.2">
      <c r="A58" s="119" t="s">
        <v>174</v>
      </c>
      <c r="B58" s="91">
        <f t="shared" ref="B58:F58" si="28">SUM(B59:B65)</f>
        <v>7850450</v>
      </c>
      <c r="C58" s="91">
        <f t="shared" si="28"/>
        <v>2384825.9</v>
      </c>
      <c r="D58" s="91">
        <f t="shared" si="28"/>
        <v>1962612.5</v>
      </c>
      <c r="E58" s="91">
        <f t="shared" si="28"/>
        <v>695972.32</v>
      </c>
      <c r="F58" s="92">
        <f t="shared" si="28"/>
        <v>2807039.2800000003</v>
      </c>
    </row>
    <row r="59" spans="1:6" x14ac:dyDescent="0.25">
      <c r="A59" s="93" t="s">
        <v>175</v>
      </c>
      <c r="B59" s="35">
        <f>SUM(C59:F59)</f>
        <v>5066560.7300000004</v>
      </c>
      <c r="C59" s="35">
        <v>1688853.58</v>
      </c>
      <c r="D59" s="35">
        <v>1266640.18</v>
      </c>
      <c r="E59" s="35"/>
      <c r="F59" s="95">
        <v>2111066.9700000002</v>
      </c>
    </row>
    <row r="60" spans="1:6" x14ac:dyDescent="0.25">
      <c r="A60" s="93" t="s">
        <v>176</v>
      </c>
      <c r="B60" s="35">
        <f>SUM(C60:F60)</f>
        <v>2097853</v>
      </c>
      <c r="C60" s="35">
        <v>524463.25</v>
      </c>
      <c r="D60" s="35">
        <v>524463.25</v>
      </c>
      <c r="E60" s="35">
        <v>524463.25</v>
      </c>
      <c r="F60" s="35">
        <v>524463.25</v>
      </c>
    </row>
    <row r="61" spans="1:6" x14ac:dyDescent="0.25">
      <c r="A61" s="93" t="s">
        <v>177</v>
      </c>
      <c r="B61" s="35">
        <f>SUM(C61:F61)</f>
        <v>491988</v>
      </c>
      <c r="C61" s="35">
        <v>122997</v>
      </c>
      <c r="D61" s="35">
        <v>122997</v>
      </c>
      <c r="E61" s="35">
        <v>122997</v>
      </c>
      <c r="F61" s="35">
        <v>122997</v>
      </c>
    </row>
    <row r="62" spans="1:6" x14ac:dyDescent="0.25">
      <c r="A62" s="93" t="s">
        <v>178</v>
      </c>
      <c r="B62" s="35"/>
      <c r="C62" s="35"/>
      <c r="D62" s="35"/>
      <c r="E62" s="35"/>
      <c r="F62" s="95"/>
    </row>
    <row r="63" spans="1:6" x14ac:dyDescent="0.25">
      <c r="A63" s="93" t="s">
        <v>179</v>
      </c>
      <c r="B63" s="35">
        <f>SUM(C63:F63)</f>
        <v>194048.27</v>
      </c>
      <c r="C63" s="35">
        <v>48512.07</v>
      </c>
      <c r="D63" s="35">
        <v>48512.07</v>
      </c>
      <c r="E63" s="35">
        <v>48512.07</v>
      </c>
      <c r="F63" s="95">
        <v>48512.06</v>
      </c>
    </row>
    <row r="64" spans="1:6" x14ac:dyDescent="0.25">
      <c r="A64" s="93" t="s">
        <v>180</v>
      </c>
      <c r="B64" s="35"/>
      <c r="C64" s="35"/>
      <c r="D64" s="35"/>
      <c r="E64" s="35"/>
      <c r="F64" s="95"/>
    </row>
    <row r="65" spans="1:6" x14ac:dyDescent="0.25">
      <c r="A65" s="93" t="s">
        <v>181</v>
      </c>
      <c r="B65" s="35"/>
      <c r="C65" s="35"/>
      <c r="D65" s="35"/>
      <c r="E65" s="35"/>
      <c r="F65" s="95"/>
    </row>
    <row r="66" spans="1:6" s="43" customFormat="1" ht="14.25" x14ac:dyDescent="0.2">
      <c r="A66" s="90" t="s">
        <v>182</v>
      </c>
      <c r="B66" s="91">
        <f>SUM(C66:F66)</f>
        <v>4001708.66</v>
      </c>
      <c r="C66" s="91">
        <f t="shared" ref="C66:F66" si="29">SUM(C67:C68)</f>
        <v>919970</v>
      </c>
      <c r="D66" s="91">
        <f t="shared" si="29"/>
        <v>953081</v>
      </c>
      <c r="E66" s="91">
        <f t="shared" si="29"/>
        <v>1033289</v>
      </c>
      <c r="F66" s="92">
        <f t="shared" si="29"/>
        <v>1095368.6600000001</v>
      </c>
    </row>
    <row r="67" spans="1:6" x14ac:dyDescent="0.25">
      <c r="A67" s="93" t="s">
        <v>183</v>
      </c>
      <c r="B67" s="35">
        <f>SUM(C67:F67)</f>
        <v>3302632.66</v>
      </c>
      <c r="C67" s="35">
        <v>758742</v>
      </c>
      <c r="D67" s="35">
        <v>785801</v>
      </c>
      <c r="E67" s="35">
        <v>853156</v>
      </c>
      <c r="F67" s="95">
        <v>904933.66</v>
      </c>
    </row>
    <row r="68" spans="1:6" x14ac:dyDescent="0.25">
      <c r="A68" s="93" t="s">
        <v>184</v>
      </c>
      <c r="B68" s="35">
        <f>SUM(C68:F68)</f>
        <v>699076</v>
      </c>
      <c r="C68" s="35">
        <v>161228</v>
      </c>
      <c r="D68" s="35">
        <v>167280</v>
      </c>
      <c r="E68" s="35">
        <v>180133</v>
      </c>
      <c r="F68" s="95">
        <v>190435</v>
      </c>
    </row>
    <row r="69" spans="1:6" s="43" customFormat="1" ht="14.25" x14ac:dyDescent="0.2">
      <c r="A69" s="90" t="s">
        <v>185</v>
      </c>
      <c r="B69" s="91">
        <f t="shared" ref="B69:B78" si="30">SUM(C69:F69)</f>
        <v>3153521.4</v>
      </c>
      <c r="C69" s="91">
        <f>SUM(C70,C73:C88,C91:C107)</f>
        <v>741168.89</v>
      </c>
      <c r="D69" s="91">
        <f>SUM(D70,D73:D88,D91:D107)</f>
        <v>858098.89</v>
      </c>
      <c r="E69" s="91">
        <f>SUM(E70,E73:E88,E91:E107)</f>
        <v>728968.89</v>
      </c>
      <c r="F69" s="92">
        <f>SUM(F70,F73:F88,F91:F107)</f>
        <v>825284.73</v>
      </c>
    </row>
    <row r="70" spans="1:6" x14ac:dyDescent="0.25">
      <c r="A70" s="93" t="s">
        <v>186</v>
      </c>
      <c r="B70" s="35">
        <f t="shared" si="30"/>
        <v>202352</v>
      </c>
      <c r="C70" s="35">
        <f>SUM(C71:C72)</f>
        <v>50589.5</v>
      </c>
      <c r="D70" s="35">
        <f t="shared" ref="D70:F70" si="31">SUM(D71:D72)</f>
        <v>50587.5</v>
      </c>
      <c r="E70" s="35">
        <f t="shared" si="31"/>
        <v>50587.5</v>
      </c>
      <c r="F70" s="95">
        <f t="shared" si="31"/>
        <v>50587.5</v>
      </c>
    </row>
    <row r="71" spans="1:6" x14ac:dyDescent="0.25">
      <c r="A71" s="113" t="s">
        <v>187</v>
      </c>
      <c r="B71" s="114">
        <f t="shared" si="30"/>
        <v>128702</v>
      </c>
      <c r="C71" s="114">
        <v>32177</v>
      </c>
      <c r="D71" s="114">
        <v>32175</v>
      </c>
      <c r="E71" s="114">
        <v>32175</v>
      </c>
      <c r="F71" s="114">
        <v>32175</v>
      </c>
    </row>
    <row r="72" spans="1:6" x14ac:dyDescent="0.25">
      <c r="A72" s="113" t="s">
        <v>188</v>
      </c>
      <c r="B72" s="114">
        <f t="shared" si="30"/>
        <v>73650</v>
      </c>
      <c r="C72" s="114">
        <v>18412.5</v>
      </c>
      <c r="D72" s="114">
        <v>18412.5</v>
      </c>
      <c r="E72" s="114">
        <v>18412.5</v>
      </c>
      <c r="F72" s="114">
        <v>18412.5</v>
      </c>
    </row>
    <row r="73" spans="1:6" ht="30" x14ac:dyDescent="0.25">
      <c r="A73" s="120" t="s">
        <v>189</v>
      </c>
      <c r="B73" s="35">
        <f t="shared" si="30"/>
        <v>250500</v>
      </c>
      <c r="C73" s="35">
        <v>53500</v>
      </c>
      <c r="D73" s="35">
        <v>75500</v>
      </c>
      <c r="E73" s="35">
        <v>74000</v>
      </c>
      <c r="F73" s="95">
        <v>47500</v>
      </c>
    </row>
    <row r="74" spans="1:6" x14ac:dyDescent="0.25">
      <c r="A74" s="93" t="s">
        <v>190</v>
      </c>
      <c r="B74" s="35">
        <f t="shared" si="30"/>
        <v>7000</v>
      </c>
      <c r="C74" s="35">
        <v>4000</v>
      </c>
      <c r="D74" s="35">
        <v>1000</v>
      </c>
      <c r="E74" s="35">
        <v>1000</v>
      </c>
      <c r="F74" s="95">
        <v>1000</v>
      </c>
    </row>
    <row r="75" spans="1:6" x14ac:dyDescent="0.25">
      <c r="A75" s="93" t="s">
        <v>382</v>
      </c>
      <c r="B75" s="35">
        <f t="shared" si="30"/>
        <v>4000</v>
      </c>
      <c r="C75" s="35">
        <v>2000</v>
      </c>
      <c r="D75" s="35">
        <v>2000</v>
      </c>
      <c r="E75" s="35"/>
      <c r="F75" s="95"/>
    </row>
    <row r="76" spans="1:6" x14ac:dyDescent="0.25">
      <c r="A76" s="93" t="s">
        <v>191</v>
      </c>
      <c r="B76" s="35">
        <f t="shared" si="30"/>
        <v>5000</v>
      </c>
      <c r="C76" s="35">
        <v>2000</v>
      </c>
      <c r="D76" s="35">
        <v>1000</v>
      </c>
      <c r="E76" s="35">
        <v>1000</v>
      </c>
      <c r="F76" s="95">
        <v>1000</v>
      </c>
    </row>
    <row r="77" spans="1:6" x14ac:dyDescent="0.25">
      <c r="A77" s="93" t="s">
        <v>192</v>
      </c>
      <c r="B77" s="35">
        <f t="shared" si="30"/>
        <v>69300</v>
      </c>
      <c r="C77" s="35">
        <v>34650</v>
      </c>
      <c r="D77" s="35">
        <v>34650</v>
      </c>
      <c r="E77" s="35"/>
      <c r="F77" s="95"/>
    </row>
    <row r="78" spans="1:6" x14ac:dyDescent="0.25">
      <c r="A78" s="93" t="s">
        <v>193</v>
      </c>
      <c r="B78" s="35">
        <f t="shared" si="30"/>
        <v>80000</v>
      </c>
      <c r="C78" s="35">
        <v>0</v>
      </c>
      <c r="D78" s="35">
        <v>30000</v>
      </c>
      <c r="E78" s="35">
        <v>30000</v>
      </c>
      <c r="F78" s="95">
        <v>20000</v>
      </c>
    </row>
    <row r="79" spans="1:6" x14ac:dyDescent="0.25">
      <c r="A79" s="93" t="s">
        <v>194</v>
      </c>
      <c r="B79" s="35">
        <f t="shared" ref="B79:B86" si="32">SUM(C79:F79)</f>
        <v>0</v>
      </c>
      <c r="C79" s="35"/>
      <c r="D79" s="35"/>
      <c r="E79" s="35"/>
      <c r="F79" s="95"/>
    </row>
    <row r="80" spans="1:6" x14ac:dyDescent="0.25">
      <c r="A80" s="93" t="s">
        <v>195</v>
      </c>
      <c r="B80" s="35">
        <f t="shared" si="32"/>
        <v>50000</v>
      </c>
      <c r="C80" s="35">
        <v>12500</v>
      </c>
      <c r="D80" s="35">
        <v>12500</v>
      </c>
      <c r="E80" s="35">
        <v>12500</v>
      </c>
      <c r="F80" s="95">
        <v>12500</v>
      </c>
    </row>
    <row r="81" spans="1:6" x14ac:dyDescent="0.25">
      <c r="A81" s="93" t="s">
        <v>196</v>
      </c>
      <c r="B81" s="35">
        <f t="shared" si="32"/>
        <v>50000</v>
      </c>
      <c r="C81" s="35">
        <v>12500</v>
      </c>
      <c r="D81" s="35">
        <v>12500</v>
      </c>
      <c r="E81" s="35">
        <v>12500</v>
      </c>
      <c r="F81" s="95">
        <v>12500</v>
      </c>
    </row>
    <row r="82" spans="1:6" ht="30" x14ac:dyDescent="0.25">
      <c r="A82" s="120" t="s">
        <v>197</v>
      </c>
      <c r="B82" s="35">
        <f t="shared" si="32"/>
        <v>10000</v>
      </c>
      <c r="C82" s="35">
        <v>5000</v>
      </c>
      <c r="D82" s="35">
        <v>5000</v>
      </c>
      <c r="E82" s="35"/>
      <c r="F82" s="95"/>
    </row>
    <row r="83" spans="1:6" x14ac:dyDescent="0.25">
      <c r="A83" s="93" t="s">
        <v>198</v>
      </c>
      <c r="B83" s="35">
        <f t="shared" si="32"/>
        <v>50000</v>
      </c>
      <c r="C83" s="35"/>
      <c r="D83" s="35"/>
      <c r="E83" s="35"/>
      <c r="F83" s="95">
        <v>50000</v>
      </c>
    </row>
    <row r="84" spans="1:6" x14ac:dyDescent="0.25">
      <c r="A84" s="93" t="s">
        <v>199</v>
      </c>
      <c r="B84" s="35">
        <f t="shared" si="32"/>
        <v>0</v>
      </c>
      <c r="C84" s="35"/>
      <c r="D84" s="35"/>
      <c r="E84" s="35"/>
      <c r="F84" s="95"/>
    </row>
    <row r="85" spans="1:6" x14ac:dyDescent="0.25">
      <c r="A85" s="93" t="s">
        <v>200</v>
      </c>
      <c r="B85" s="35">
        <f t="shared" si="32"/>
        <v>336526.04</v>
      </c>
      <c r="C85" s="35">
        <v>84131.51</v>
      </c>
      <c r="D85" s="35">
        <v>84131.51</v>
      </c>
      <c r="E85" s="35">
        <v>84131.51</v>
      </c>
      <c r="F85" s="35">
        <v>84131.51</v>
      </c>
    </row>
    <row r="86" spans="1:6" ht="30" x14ac:dyDescent="0.25">
      <c r="A86" s="120" t="s">
        <v>201</v>
      </c>
      <c r="B86" s="35">
        <f t="shared" si="32"/>
        <v>149164.51999999999</v>
      </c>
      <c r="C86" s="35">
        <v>37291.129999999997</v>
      </c>
      <c r="D86" s="35">
        <v>37291.129999999997</v>
      </c>
      <c r="E86" s="35">
        <v>37291.129999999997</v>
      </c>
      <c r="F86" s="95">
        <v>37291.129999999997</v>
      </c>
    </row>
    <row r="87" spans="1:6" ht="30" x14ac:dyDescent="0.25">
      <c r="A87" s="120" t="s">
        <v>378</v>
      </c>
      <c r="B87" s="35">
        <f>SUM(C87:F87)</f>
        <v>10794</v>
      </c>
      <c r="C87" s="35">
        <v>2698.5</v>
      </c>
      <c r="D87" s="35">
        <v>2698.5</v>
      </c>
      <c r="E87" s="35">
        <v>2698.5</v>
      </c>
      <c r="F87" s="35">
        <v>2698.5</v>
      </c>
    </row>
    <row r="88" spans="1:6" x14ac:dyDescent="0.25">
      <c r="A88" s="93" t="s">
        <v>202</v>
      </c>
      <c r="B88" s="35">
        <f t="shared" ref="B88:B90" si="33">SUM(C88:F88)</f>
        <v>374530</v>
      </c>
      <c r="C88" s="35">
        <f>SUM(C89:C90)</f>
        <v>93632.5</v>
      </c>
      <c r="D88" s="35">
        <f t="shared" ref="D88:F88" si="34">SUM(D89:D90)</f>
        <v>93632.5</v>
      </c>
      <c r="E88" s="35">
        <f t="shared" si="34"/>
        <v>93632.5</v>
      </c>
      <c r="F88" s="95">
        <f t="shared" si="34"/>
        <v>93632.5</v>
      </c>
    </row>
    <row r="89" spans="1:6" x14ac:dyDescent="0.25">
      <c r="A89" s="113" t="s">
        <v>203</v>
      </c>
      <c r="B89" s="114">
        <f t="shared" si="33"/>
        <v>61330</v>
      </c>
      <c r="C89" s="114">
        <v>15332.5</v>
      </c>
      <c r="D89" s="114">
        <v>15332.5</v>
      </c>
      <c r="E89" s="114">
        <v>15332.5</v>
      </c>
      <c r="F89" s="114">
        <v>15332.5</v>
      </c>
    </row>
    <row r="90" spans="1:6" x14ac:dyDescent="0.25">
      <c r="A90" s="113" t="s">
        <v>204</v>
      </c>
      <c r="B90" s="114">
        <f t="shared" si="33"/>
        <v>313200</v>
      </c>
      <c r="C90" s="114">
        <v>78300</v>
      </c>
      <c r="D90" s="114">
        <v>78300</v>
      </c>
      <c r="E90" s="114">
        <v>78300</v>
      </c>
      <c r="F90" s="114">
        <v>78300</v>
      </c>
    </row>
    <row r="91" spans="1:6" ht="18" customHeight="1" x14ac:dyDescent="0.25">
      <c r="A91" s="120" t="s">
        <v>375</v>
      </c>
      <c r="B91" s="35">
        <f>SUM(C91:F91)</f>
        <v>15299</v>
      </c>
      <c r="C91" s="35">
        <v>3824.75</v>
      </c>
      <c r="D91" s="35">
        <v>3824.75</v>
      </c>
      <c r="E91" s="35">
        <v>3824.75</v>
      </c>
      <c r="F91" s="35">
        <v>3824.75</v>
      </c>
    </row>
    <row r="92" spans="1:6" ht="27.75" customHeight="1" x14ac:dyDescent="0.25">
      <c r="A92" s="120" t="s">
        <v>205</v>
      </c>
      <c r="B92" s="35">
        <f>SUM(C92:F92)</f>
        <v>60000</v>
      </c>
      <c r="C92" s="35">
        <v>15000</v>
      </c>
      <c r="D92" s="35">
        <v>15000</v>
      </c>
      <c r="E92" s="35">
        <v>15000</v>
      </c>
      <c r="F92" s="95">
        <v>15000</v>
      </c>
    </row>
    <row r="93" spans="1:6" x14ac:dyDescent="0.25">
      <c r="A93" s="120" t="s">
        <v>206</v>
      </c>
      <c r="B93" s="35">
        <f t="shared" ref="B93:B96" si="35">SUM(C93:F93)</f>
        <v>27775.84</v>
      </c>
      <c r="C93" s="35"/>
      <c r="D93" s="35"/>
      <c r="E93" s="35"/>
      <c r="F93" s="95">
        <v>27775.84</v>
      </c>
    </row>
    <row r="94" spans="1:6" x14ac:dyDescent="0.25">
      <c r="A94" s="93" t="s">
        <v>207</v>
      </c>
      <c r="B94" s="35">
        <f t="shared" si="35"/>
        <v>307500</v>
      </c>
      <c r="C94" s="35">
        <v>76875</v>
      </c>
      <c r="D94" s="35">
        <v>76875</v>
      </c>
      <c r="E94" s="35">
        <v>76875</v>
      </c>
      <c r="F94" s="35">
        <v>76875</v>
      </c>
    </row>
    <row r="95" spans="1:6" x14ac:dyDescent="0.25">
      <c r="A95" s="93" t="s">
        <v>208</v>
      </c>
      <c r="B95" s="35">
        <f t="shared" si="35"/>
        <v>69960</v>
      </c>
      <c r="C95" s="35">
        <v>17490</v>
      </c>
      <c r="D95" s="35">
        <v>17490</v>
      </c>
      <c r="E95" s="35">
        <v>17490</v>
      </c>
      <c r="F95" s="35">
        <v>17490</v>
      </c>
    </row>
    <row r="96" spans="1:6" x14ac:dyDescent="0.25">
      <c r="A96" s="93" t="s">
        <v>209</v>
      </c>
      <c r="B96" s="35">
        <f t="shared" si="35"/>
        <v>6600</v>
      </c>
      <c r="C96" s="35">
        <v>1650</v>
      </c>
      <c r="D96" s="35">
        <v>1650</v>
      </c>
      <c r="E96" s="35">
        <v>1650</v>
      </c>
      <c r="F96" s="95">
        <v>1650</v>
      </c>
    </row>
    <row r="97" spans="1:6" x14ac:dyDescent="0.25">
      <c r="A97" s="93" t="s">
        <v>210</v>
      </c>
      <c r="B97" s="35">
        <f>SUM(C97:F97)</f>
        <v>386200</v>
      </c>
      <c r="C97" s="35">
        <v>96550</v>
      </c>
      <c r="D97" s="35">
        <v>96550</v>
      </c>
      <c r="E97" s="35">
        <v>96550</v>
      </c>
      <c r="F97" s="35">
        <v>96550</v>
      </c>
    </row>
    <row r="98" spans="1:6" x14ac:dyDescent="0.25">
      <c r="A98" s="93" t="s">
        <v>211</v>
      </c>
      <c r="B98" s="35">
        <f t="shared" ref="B98:B109" si="36">SUM(C98:F98)</f>
        <v>6000</v>
      </c>
      <c r="C98" s="35">
        <v>6000</v>
      </c>
      <c r="D98" s="35"/>
      <c r="E98" s="35"/>
      <c r="F98" s="95"/>
    </row>
    <row r="99" spans="1:6" x14ac:dyDescent="0.25">
      <c r="A99" s="93" t="s">
        <v>212</v>
      </c>
      <c r="B99" s="35">
        <f t="shared" si="36"/>
        <v>0</v>
      </c>
      <c r="C99" s="35"/>
      <c r="D99" s="35"/>
      <c r="E99" s="35"/>
      <c r="F99" s="95"/>
    </row>
    <row r="100" spans="1:6" ht="16.5" customHeight="1" x14ac:dyDescent="0.25">
      <c r="A100" s="120" t="s">
        <v>213</v>
      </c>
      <c r="B100" s="35">
        <f t="shared" si="36"/>
        <v>5000</v>
      </c>
      <c r="C100" s="35">
        <v>5000</v>
      </c>
      <c r="D100" s="35"/>
      <c r="E100" s="35"/>
      <c r="F100" s="95"/>
    </row>
    <row r="101" spans="1:6" x14ac:dyDescent="0.25">
      <c r="A101" s="93" t="s">
        <v>214</v>
      </c>
      <c r="B101" s="35">
        <f t="shared" si="36"/>
        <v>163944</v>
      </c>
      <c r="C101" s="35">
        <v>40986</v>
      </c>
      <c r="D101" s="35">
        <v>40986</v>
      </c>
      <c r="E101" s="35">
        <v>40986</v>
      </c>
      <c r="F101" s="35">
        <v>40986</v>
      </c>
    </row>
    <row r="102" spans="1:6" x14ac:dyDescent="0.25">
      <c r="A102" s="93" t="s">
        <v>371</v>
      </c>
      <c r="B102" s="35">
        <f t="shared" si="36"/>
        <v>6048</v>
      </c>
      <c r="C102" s="35">
        <v>6048</v>
      </c>
      <c r="D102" s="35"/>
      <c r="E102" s="35"/>
      <c r="F102" s="95"/>
    </row>
    <row r="103" spans="1:6" x14ac:dyDescent="0.25">
      <c r="A103" s="93" t="s">
        <v>215</v>
      </c>
      <c r="B103" s="35">
        <f t="shared" si="36"/>
        <v>0</v>
      </c>
      <c r="C103" s="35"/>
      <c r="D103" s="35"/>
      <c r="E103" s="35"/>
      <c r="F103" s="95"/>
    </row>
    <row r="104" spans="1:6" x14ac:dyDescent="0.25">
      <c r="A104" s="93" t="s">
        <v>216</v>
      </c>
      <c r="B104" s="35">
        <f t="shared" si="36"/>
        <v>70000</v>
      </c>
      <c r="C104" s="35">
        <v>17500</v>
      </c>
      <c r="D104" s="35">
        <v>17500</v>
      </c>
      <c r="E104" s="35">
        <v>17500</v>
      </c>
      <c r="F104" s="95">
        <v>17500</v>
      </c>
    </row>
    <row r="105" spans="1:6" x14ac:dyDescent="0.25">
      <c r="A105" s="93" t="s">
        <v>217</v>
      </c>
      <c r="B105" s="35">
        <f t="shared" si="36"/>
        <v>15040</v>
      </c>
      <c r="C105" s="35"/>
      <c r="D105" s="35"/>
      <c r="E105" s="35"/>
      <c r="F105" s="95">
        <v>15040</v>
      </c>
    </row>
    <row r="106" spans="1:6" x14ac:dyDescent="0.25">
      <c r="A106" s="93" t="s">
        <v>218</v>
      </c>
      <c r="B106" s="35">
        <f t="shared" si="36"/>
        <v>125980</v>
      </c>
      <c r="C106" s="35"/>
      <c r="D106" s="35">
        <v>85980</v>
      </c>
      <c r="E106" s="35"/>
      <c r="F106" s="95">
        <v>40000</v>
      </c>
    </row>
    <row r="107" spans="1:6" x14ac:dyDescent="0.25">
      <c r="A107" s="93" t="s">
        <v>219</v>
      </c>
      <c r="B107" s="35">
        <f t="shared" si="36"/>
        <v>239008</v>
      </c>
      <c r="C107" s="35">
        <f>SUM(C108:C109)</f>
        <v>59752</v>
      </c>
      <c r="D107" s="35">
        <f t="shared" ref="D107:F107" si="37">SUM(D108:D109)</f>
        <v>59752</v>
      </c>
      <c r="E107" s="35">
        <f t="shared" si="37"/>
        <v>59752</v>
      </c>
      <c r="F107" s="95">
        <f t="shared" si="37"/>
        <v>59752</v>
      </c>
    </row>
    <row r="108" spans="1:6" x14ac:dyDescent="0.25">
      <c r="A108" s="121" t="s">
        <v>220</v>
      </c>
      <c r="B108" s="114">
        <f t="shared" si="36"/>
        <v>66008</v>
      </c>
      <c r="C108" s="114">
        <v>16502</v>
      </c>
      <c r="D108" s="114">
        <v>16502</v>
      </c>
      <c r="E108" s="114">
        <v>16502</v>
      </c>
      <c r="F108" s="115">
        <v>16502</v>
      </c>
    </row>
    <row r="109" spans="1:6" ht="15.75" thickBot="1" x14ac:dyDescent="0.3">
      <c r="A109" s="122" t="s">
        <v>221</v>
      </c>
      <c r="B109" s="117">
        <f t="shared" si="36"/>
        <v>173000</v>
      </c>
      <c r="C109" s="117">
        <v>43250</v>
      </c>
      <c r="D109" s="117">
        <v>43250</v>
      </c>
      <c r="E109" s="117">
        <v>43250</v>
      </c>
      <c r="F109" s="118">
        <v>43250</v>
      </c>
    </row>
    <row r="110" spans="1:6" s="43" customFormat="1" ht="14.25" x14ac:dyDescent="0.2">
      <c r="A110" s="105" t="s">
        <v>222</v>
      </c>
      <c r="B110" s="106">
        <f>SUM(C110:F110)</f>
        <v>307035.13</v>
      </c>
      <c r="C110" s="106">
        <f>SUM(C125,C111)</f>
        <v>105653.13</v>
      </c>
      <c r="D110" s="106">
        <f t="shared" ref="D110:F110" si="38">SUM(D125,D111)</f>
        <v>57574</v>
      </c>
      <c r="E110" s="106">
        <f t="shared" si="38"/>
        <v>71234</v>
      </c>
      <c r="F110" s="107">
        <f t="shared" si="38"/>
        <v>72574</v>
      </c>
    </row>
    <row r="111" spans="1:6" s="43" customFormat="1" ht="14.25" x14ac:dyDescent="0.2">
      <c r="A111" s="123" t="s">
        <v>223</v>
      </c>
      <c r="B111" s="91">
        <f>SUM(C111:F111)</f>
        <v>254521.13</v>
      </c>
      <c r="C111" s="91">
        <f>SUM(C112:C124)</f>
        <v>53139.13</v>
      </c>
      <c r="D111" s="91">
        <f t="shared" ref="D111:F111" si="39">SUM(D112:D124)</f>
        <v>57574</v>
      </c>
      <c r="E111" s="91">
        <f t="shared" si="39"/>
        <v>71234</v>
      </c>
      <c r="F111" s="91">
        <f t="shared" si="39"/>
        <v>72574</v>
      </c>
    </row>
    <row r="112" spans="1:6" ht="18.75" customHeight="1" x14ac:dyDescent="0.25">
      <c r="A112" s="124" t="s">
        <v>374</v>
      </c>
      <c r="B112" s="114">
        <f t="shared" ref="B112:B114" si="40">SUM(C112:F112)</f>
        <v>25440</v>
      </c>
      <c r="C112" s="114">
        <v>6360</v>
      </c>
      <c r="D112" s="114">
        <v>6360</v>
      </c>
      <c r="E112" s="114">
        <v>6360</v>
      </c>
      <c r="F112" s="114">
        <v>6360</v>
      </c>
    </row>
    <row r="113" spans="1:6" ht="30" x14ac:dyDescent="0.25">
      <c r="A113" s="124" t="s">
        <v>224</v>
      </c>
      <c r="B113" s="114">
        <f t="shared" si="40"/>
        <v>100000</v>
      </c>
      <c r="C113" s="114"/>
      <c r="D113" s="114">
        <v>25000</v>
      </c>
      <c r="E113" s="114">
        <v>35000</v>
      </c>
      <c r="F113" s="114">
        <v>40000</v>
      </c>
    </row>
    <row r="114" spans="1:6" ht="30" x14ac:dyDescent="0.25">
      <c r="A114" s="124" t="s">
        <v>225</v>
      </c>
      <c r="B114" s="114">
        <f t="shared" si="40"/>
        <v>18480</v>
      </c>
      <c r="C114" s="114">
        <v>4620</v>
      </c>
      <c r="D114" s="114">
        <v>4620</v>
      </c>
      <c r="E114" s="114">
        <v>4620</v>
      </c>
      <c r="F114" s="115">
        <v>4620</v>
      </c>
    </row>
    <row r="115" spans="1:6" x14ac:dyDescent="0.25">
      <c r="A115" s="124" t="s">
        <v>369</v>
      </c>
      <c r="B115" s="114">
        <f>SUM(C115:F115)</f>
        <v>32640</v>
      </c>
      <c r="C115" s="114">
        <v>8160</v>
      </c>
      <c r="D115" s="114">
        <v>8160</v>
      </c>
      <c r="E115" s="114">
        <v>8160</v>
      </c>
      <c r="F115" s="114">
        <v>8160</v>
      </c>
    </row>
    <row r="116" spans="1:6" x14ac:dyDescent="0.25">
      <c r="A116" s="124" t="s">
        <v>376</v>
      </c>
      <c r="B116" s="114">
        <f>SUM(C116:F116)</f>
        <v>34020</v>
      </c>
      <c r="C116" s="114">
        <v>8505</v>
      </c>
      <c r="D116" s="114">
        <v>8505</v>
      </c>
      <c r="E116" s="114">
        <v>8505</v>
      </c>
      <c r="F116" s="114">
        <v>8505</v>
      </c>
    </row>
    <row r="117" spans="1:6" x14ac:dyDescent="0.25">
      <c r="A117" s="124" t="s">
        <v>226</v>
      </c>
      <c r="B117" s="114">
        <f>SUM(C117:F117)</f>
        <v>2600</v>
      </c>
      <c r="C117" s="114">
        <v>2600</v>
      </c>
      <c r="D117" s="114"/>
      <c r="E117" s="114"/>
      <c r="F117" s="115"/>
    </row>
    <row r="118" spans="1:6" x14ac:dyDescent="0.25">
      <c r="A118" s="124" t="s">
        <v>227</v>
      </c>
      <c r="B118" s="114">
        <f>SUM(C118:F118)</f>
        <v>3660</v>
      </c>
      <c r="C118" s="114"/>
      <c r="D118" s="114"/>
      <c r="E118" s="114">
        <v>3660</v>
      </c>
      <c r="F118" s="115"/>
    </row>
    <row r="119" spans="1:6" ht="45" x14ac:dyDescent="0.25">
      <c r="A119" s="124" t="s">
        <v>228</v>
      </c>
      <c r="B119" s="114">
        <f t="shared" ref="B119:B127" si="41">SUM(C119:F119)</f>
        <v>4356</v>
      </c>
      <c r="C119" s="114">
        <v>1089</v>
      </c>
      <c r="D119" s="114">
        <v>1089</v>
      </c>
      <c r="E119" s="114">
        <v>1089</v>
      </c>
      <c r="F119" s="115">
        <v>1089</v>
      </c>
    </row>
    <row r="120" spans="1:6" ht="30" x14ac:dyDescent="0.25">
      <c r="A120" s="124" t="s">
        <v>380</v>
      </c>
      <c r="B120" s="114">
        <f t="shared" si="41"/>
        <v>9360</v>
      </c>
      <c r="C120" s="114">
        <v>2340</v>
      </c>
      <c r="D120" s="114">
        <v>2340</v>
      </c>
      <c r="E120" s="114">
        <v>2340</v>
      </c>
      <c r="F120" s="114">
        <v>2340</v>
      </c>
    </row>
    <row r="121" spans="1:6" x14ac:dyDescent="0.25">
      <c r="A121" s="124" t="s">
        <v>229</v>
      </c>
      <c r="B121" s="114">
        <f t="shared" si="41"/>
        <v>3800</v>
      </c>
      <c r="C121" s="114">
        <f>2000+1800</f>
        <v>3800</v>
      </c>
      <c r="D121" s="114"/>
      <c r="E121" s="114"/>
      <c r="F121" s="115"/>
    </row>
    <row r="122" spans="1:6" ht="60" x14ac:dyDescent="0.25">
      <c r="A122" s="124" t="s">
        <v>230</v>
      </c>
      <c r="B122" s="114">
        <f t="shared" si="41"/>
        <v>6000</v>
      </c>
      <c r="C122" s="114">
        <v>1500</v>
      </c>
      <c r="D122" s="114">
        <v>1500</v>
      </c>
      <c r="E122" s="114">
        <v>1500</v>
      </c>
      <c r="F122" s="115">
        <v>1500</v>
      </c>
    </row>
    <row r="123" spans="1:6" x14ac:dyDescent="0.25">
      <c r="A123" s="124" t="s">
        <v>231</v>
      </c>
      <c r="B123" s="114">
        <f t="shared" si="41"/>
        <v>785.13</v>
      </c>
      <c r="C123" s="114">
        <v>785.13</v>
      </c>
      <c r="D123" s="114"/>
      <c r="E123" s="114"/>
      <c r="F123" s="115"/>
    </row>
    <row r="124" spans="1:6" x14ac:dyDescent="0.25">
      <c r="A124" s="124" t="s">
        <v>370</v>
      </c>
      <c r="B124" s="114">
        <f t="shared" si="41"/>
        <v>13380</v>
      </c>
      <c r="C124" s="114">
        <v>13380</v>
      </c>
      <c r="D124" s="114"/>
      <c r="E124" s="114"/>
      <c r="F124" s="115"/>
    </row>
    <row r="125" spans="1:6" s="43" customFormat="1" ht="14.25" x14ac:dyDescent="0.2">
      <c r="A125" s="123" t="s">
        <v>232</v>
      </c>
      <c r="B125" s="91">
        <f t="shared" si="41"/>
        <v>52514</v>
      </c>
      <c r="C125" s="91">
        <f>SUM(C126:C128)</f>
        <v>52514</v>
      </c>
      <c r="D125" s="91">
        <f t="shared" ref="D125:F125" si="42">SUM(D126:D128)</f>
        <v>0</v>
      </c>
      <c r="E125" s="91">
        <f t="shared" si="42"/>
        <v>0</v>
      </c>
      <c r="F125" s="91">
        <f t="shared" si="42"/>
        <v>0</v>
      </c>
    </row>
    <row r="126" spans="1:6" s="43" customFormat="1" x14ac:dyDescent="0.25">
      <c r="A126" s="121" t="s">
        <v>381</v>
      </c>
      <c r="B126" s="114">
        <f t="shared" si="41"/>
        <v>2100</v>
      </c>
      <c r="C126" s="114">
        <v>2100</v>
      </c>
      <c r="D126" s="114"/>
      <c r="E126" s="114"/>
      <c r="F126" s="115"/>
    </row>
    <row r="127" spans="1:6" x14ac:dyDescent="0.25">
      <c r="A127" s="113" t="s">
        <v>233</v>
      </c>
      <c r="B127" s="114">
        <f t="shared" si="41"/>
        <v>12114</v>
      </c>
      <c r="C127" s="114">
        <v>12114</v>
      </c>
      <c r="D127" s="114"/>
      <c r="E127" s="114"/>
      <c r="F127" s="115"/>
    </row>
    <row r="128" spans="1:6" ht="15.75" thickBot="1" x14ac:dyDescent="0.3">
      <c r="A128" s="125" t="s">
        <v>234</v>
      </c>
      <c r="B128" s="117">
        <f>SUM(C128:F128)</f>
        <v>38300</v>
      </c>
      <c r="C128" s="117">
        <v>38300</v>
      </c>
      <c r="D128" s="117"/>
      <c r="E128" s="117"/>
      <c r="F128" s="118"/>
    </row>
    <row r="129" spans="1:6" s="43" customFormat="1" ht="14.25" x14ac:dyDescent="0.2">
      <c r="A129" s="105" t="s">
        <v>235</v>
      </c>
      <c r="B129" s="106">
        <f>SUM(B130:B131)</f>
        <v>7200</v>
      </c>
      <c r="C129" s="106">
        <f>SUM(C130:C131)</f>
        <v>2200</v>
      </c>
      <c r="D129" s="106">
        <f t="shared" ref="D129:F129" si="43">SUM(D130:D131)</f>
        <v>5000</v>
      </c>
      <c r="E129" s="106">
        <f t="shared" si="43"/>
        <v>0</v>
      </c>
      <c r="F129" s="107">
        <f t="shared" si="43"/>
        <v>0</v>
      </c>
    </row>
    <row r="130" spans="1:6" x14ac:dyDescent="0.25">
      <c r="A130" s="126" t="s">
        <v>236</v>
      </c>
      <c r="B130" s="35">
        <f>SUM(C130:F130)</f>
        <v>5000</v>
      </c>
      <c r="C130" s="35"/>
      <c r="D130" s="35">
        <v>5000</v>
      </c>
      <c r="E130" s="35"/>
      <c r="F130" s="95"/>
    </row>
    <row r="131" spans="1:6" ht="15.75" thickBot="1" x14ac:dyDescent="0.3">
      <c r="A131" s="127" t="s">
        <v>237</v>
      </c>
      <c r="B131" s="100">
        <f>SUM(C131:F131)</f>
        <v>2200</v>
      </c>
      <c r="C131" s="100">
        <v>2200</v>
      </c>
      <c r="D131" s="100"/>
      <c r="E131" s="100"/>
      <c r="F131" s="101"/>
    </row>
    <row r="132" spans="1:6" s="43" customFormat="1" thickBot="1" x14ac:dyDescent="0.25">
      <c r="A132" s="128" t="s">
        <v>238</v>
      </c>
      <c r="B132" s="129">
        <f>SUM(C132:F132)</f>
        <v>78954003.126924992</v>
      </c>
      <c r="C132" s="129">
        <f>C129+C110+C57+C43+C5+C36+C136</f>
        <v>20097873.151549999</v>
      </c>
      <c r="D132" s="129">
        <f t="shared" ref="D132:F132" si="44">D129+D110+D57+D43+D5+D36+D136</f>
        <v>19906339.435324997</v>
      </c>
      <c r="E132" s="129">
        <f t="shared" si="44"/>
        <v>18740573.811375</v>
      </c>
      <c r="F132" s="129">
        <f t="shared" si="44"/>
        <v>20209216.728675</v>
      </c>
    </row>
    <row r="133" spans="1:6" s="43" customFormat="1" ht="14.25" x14ac:dyDescent="0.2">
      <c r="A133" s="130" t="s">
        <v>239</v>
      </c>
      <c r="B133" s="106">
        <f>SUM(C133:F133)</f>
        <v>21346126.1545</v>
      </c>
      <c r="C133" s="131">
        <f t="shared" ref="C133:F133" si="45">C134+C136+C139</f>
        <v>5321725.099849999</v>
      </c>
      <c r="D133" s="131">
        <f t="shared" si="45"/>
        <v>5356461.7421499994</v>
      </c>
      <c r="E133" s="131">
        <f t="shared" si="45"/>
        <v>5496860.5197000001</v>
      </c>
      <c r="F133" s="132">
        <f t="shared" si="45"/>
        <v>5171078.7927999999</v>
      </c>
    </row>
    <row r="134" spans="1:6" ht="30" x14ac:dyDescent="0.25">
      <c r="A134" s="120" t="s">
        <v>240</v>
      </c>
      <c r="B134" s="35">
        <f t="shared" ref="B134:F134" si="46">SUM(B135)</f>
        <v>10191080.838500001</v>
      </c>
      <c r="C134" s="35">
        <f t="shared" si="46"/>
        <v>2546068.3115500002</v>
      </c>
      <c r="D134" s="35">
        <f t="shared" si="46"/>
        <v>2564430.0358500001</v>
      </c>
      <c r="E134" s="35">
        <f t="shared" si="46"/>
        <v>2612379.4018999999</v>
      </c>
      <c r="F134" s="95">
        <f t="shared" si="46"/>
        <v>2468203.0891999998</v>
      </c>
    </row>
    <row r="135" spans="1:6" x14ac:dyDescent="0.25">
      <c r="A135" s="113" t="s">
        <v>241</v>
      </c>
      <c r="B135" s="114">
        <f>SUM(C135:F135)</f>
        <v>10191080.838500001</v>
      </c>
      <c r="C135" s="114">
        <f>C36</f>
        <v>2546068.3115500002</v>
      </c>
      <c r="D135" s="114">
        <f t="shared" ref="D135:F135" si="47">D36</f>
        <v>2564430.0358500001</v>
      </c>
      <c r="E135" s="114">
        <f t="shared" si="47"/>
        <v>2612379.4018999999</v>
      </c>
      <c r="F135" s="115">
        <f t="shared" si="47"/>
        <v>2468203.0891999998</v>
      </c>
    </row>
    <row r="136" spans="1:6" ht="30" x14ac:dyDescent="0.25">
      <c r="A136" s="120" t="s">
        <v>242</v>
      </c>
      <c r="B136" s="35">
        <f>SUM(C136:F136)</f>
        <v>260169.75</v>
      </c>
      <c r="C136" s="35">
        <f>SUM(C137:C138)</f>
        <v>53771.19</v>
      </c>
      <c r="D136" s="35">
        <f t="shared" ref="D136:F136" si="48">SUM(D137:D138)</f>
        <v>50686.13</v>
      </c>
      <c r="E136" s="35">
        <f t="shared" si="48"/>
        <v>91537.56</v>
      </c>
      <c r="F136" s="95">
        <f t="shared" si="48"/>
        <v>64174.87</v>
      </c>
    </row>
    <row r="137" spans="1:6" x14ac:dyDescent="0.25">
      <c r="A137" s="113" t="s">
        <v>243</v>
      </c>
      <c r="B137" s="114">
        <f>SUM(C137:F137)</f>
        <v>256699.49</v>
      </c>
      <c r="C137" s="114">
        <v>50300.93</v>
      </c>
      <c r="D137" s="114">
        <v>50686.13</v>
      </c>
      <c r="E137" s="114">
        <v>91537.56</v>
      </c>
      <c r="F137" s="115">
        <v>64174.87</v>
      </c>
    </row>
    <row r="138" spans="1:6" x14ac:dyDescent="0.25">
      <c r="A138" s="113" t="s">
        <v>244</v>
      </c>
      <c r="B138" s="114">
        <f>SUM(C138:F138)</f>
        <v>3470.26</v>
      </c>
      <c r="C138" s="114">
        <v>3470.26</v>
      </c>
      <c r="D138" s="114"/>
      <c r="E138" s="114"/>
      <c r="F138" s="115"/>
    </row>
    <row r="139" spans="1:6" ht="30" x14ac:dyDescent="0.25">
      <c r="A139" s="120" t="s">
        <v>245</v>
      </c>
      <c r="B139" s="35">
        <f>SUM(B140:B141)</f>
        <v>10894875.566</v>
      </c>
      <c r="C139" s="35">
        <f t="shared" ref="C139:F139" si="49">SUM(C140:C141)</f>
        <v>2721885.5982999993</v>
      </c>
      <c r="D139" s="35">
        <f t="shared" si="49"/>
        <v>2741345.5762999998</v>
      </c>
      <c r="E139" s="35">
        <f t="shared" si="49"/>
        <v>2792943.5578000005</v>
      </c>
      <c r="F139" s="95">
        <f t="shared" si="49"/>
        <v>2638700.8335999995</v>
      </c>
    </row>
    <row r="140" spans="1:6" x14ac:dyDescent="0.25">
      <c r="A140" s="113" t="s">
        <v>246</v>
      </c>
      <c r="B140" s="114">
        <f>SUM(C140:F140)</f>
        <v>2368451.21</v>
      </c>
      <c r="C140" s="114">
        <f>C5*5%</f>
        <v>591714.26049999986</v>
      </c>
      <c r="D140" s="114">
        <f t="shared" ref="D140:F140" si="50">D5*5%</f>
        <v>595944.69049999991</v>
      </c>
      <c r="E140" s="114">
        <f t="shared" si="50"/>
        <v>607161.64300000004</v>
      </c>
      <c r="F140" s="114">
        <f t="shared" si="50"/>
        <v>573630.61599999992</v>
      </c>
    </row>
    <row r="141" spans="1:6" x14ac:dyDescent="0.25">
      <c r="A141" s="113" t="s">
        <v>247</v>
      </c>
      <c r="B141" s="114">
        <f>SUM(C141:F141)</f>
        <v>8526424.3559999987</v>
      </c>
      <c r="C141" s="114">
        <f>C5*18%</f>
        <v>2130171.3377999994</v>
      </c>
      <c r="D141" s="114">
        <f t="shared" ref="D141:F141" si="51">D5*18%</f>
        <v>2145400.8857999998</v>
      </c>
      <c r="E141" s="114">
        <f t="shared" si="51"/>
        <v>2185781.9148000004</v>
      </c>
      <c r="F141" s="115">
        <f t="shared" si="51"/>
        <v>2065070.2175999996</v>
      </c>
    </row>
    <row r="142" spans="1:6" ht="15.75" thickBot="1" x14ac:dyDescent="0.3">
      <c r="A142" s="99" t="s">
        <v>248</v>
      </c>
      <c r="B142" s="100"/>
      <c r="C142" s="100"/>
      <c r="D142" s="100"/>
      <c r="E142" s="100"/>
      <c r="F142" s="101"/>
    </row>
    <row r="143" spans="1:6" s="43" customFormat="1" ht="14.25" x14ac:dyDescent="0.2">
      <c r="A143" s="105" t="s">
        <v>249</v>
      </c>
      <c r="B143" s="131">
        <f>SUM(B144:B147)</f>
        <v>3567083</v>
      </c>
      <c r="C143" s="131">
        <f t="shared" ref="C143:F143" si="52">SUM(C144:C147)</f>
        <v>2061940</v>
      </c>
      <c r="D143" s="131">
        <f t="shared" si="52"/>
        <v>307000</v>
      </c>
      <c r="E143" s="131">
        <f t="shared" si="52"/>
        <v>1198143</v>
      </c>
      <c r="F143" s="132">
        <f t="shared" si="52"/>
        <v>0</v>
      </c>
    </row>
    <row r="144" spans="1:6" s="136" customFormat="1" x14ac:dyDescent="0.25">
      <c r="A144" s="133" t="s">
        <v>250</v>
      </c>
      <c r="B144" s="134">
        <f>SUM(C144:F144)</f>
        <v>2975583</v>
      </c>
      <c r="C144" s="134">
        <f t="shared" ref="C144:F147" si="53">C149+C154+C159+C164+C169+C174</f>
        <v>1777440</v>
      </c>
      <c r="D144" s="134">
        <f t="shared" si="53"/>
        <v>0</v>
      </c>
      <c r="E144" s="134">
        <f t="shared" si="53"/>
        <v>1198143</v>
      </c>
      <c r="F144" s="135">
        <f t="shared" si="53"/>
        <v>0</v>
      </c>
    </row>
    <row r="145" spans="1:6" s="136" customFormat="1" x14ac:dyDescent="0.25">
      <c r="A145" s="133" t="s">
        <v>251</v>
      </c>
      <c r="B145" s="134">
        <f t="shared" ref="B145:B147" si="54">SUM(C145:F145)</f>
        <v>20000</v>
      </c>
      <c r="C145" s="134">
        <f t="shared" si="53"/>
        <v>20000</v>
      </c>
      <c r="D145" s="134">
        <f t="shared" si="53"/>
        <v>0</v>
      </c>
      <c r="E145" s="134">
        <f t="shared" si="53"/>
        <v>0</v>
      </c>
      <c r="F145" s="135">
        <f t="shared" si="53"/>
        <v>0</v>
      </c>
    </row>
    <row r="146" spans="1:6" s="136" customFormat="1" x14ac:dyDescent="0.25">
      <c r="A146" s="133" t="s">
        <v>168</v>
      </c>
      <c r="B146" s="134">
        <f t="shared" si="54"/>
        <v>361500</v>
      </c>
      <c r="C146" s="134">
        <f t="shared" si="53"/>
        <v>54500</v>
      </c>
      <c r="D146" s="134">
        <f t="shared" si="53"/>
        <v>307000</v>
      </c>
      <c r="E146" s="134">
        <f t="shared" si="53"/>
        <v>0</v>
      </c>
      <c r="F146" s="135">
        <f t="shared" si="53"/>
        <v>0</v>
      </c>
    </row>
    <row r="147" spans="1:6" s="136" customFormat="1" x14ac:dyDescent="0.25">
      <c r="A147" s="133" t="s">
        <v>252</v>
      </c>
      <c r="B147" s="134">
        <f t="shared" si="54"/>
        <v>210000</v>
      </c>
      <c r="C147" s="134">
        <f t="shared" si="53"/>
        <v>210000</v>
      </c>
      <c r="D147" s="134">
        <f t="shared" si="53"/>
        <v>0</v>
      </c>
      <c r="E147" s="134">
        <f t="shared" si="53"/>
        <v>0</v>
      </c>
      <c r="F147" s="135">
        <f t="shared" si="53"/>
        <v>0</v>
      </c>
    </row>
    <row r="148" spans="1:6" x14ac:dyDescent="0.25">
      <c r="A148" s="93" t="s">
        <v>253</v>
      </c>
      <c r="B148" s="35">
        <f>SUM(C148:F148)</f>
        <v>0</v>
      </c>
      <c r="C148" s="35">
        <f t="shared" ref="C148:F148" si="55">SUM(C149:C152)</f>
        <v>0</v>
      </c>
      <c r="D148" s="35">
        <f t="shared" si="55"/>
        <v>0</v>
      </c>
      <c r="E148" s="35">
        <f t="shared" si="55"/>
        <v>0</v>
      </c>
      <c r="F148" s="95">
        <f t="shared" si="55"/>
        <v>0</v>
      </c>
    </row>
    <row r="149" spans="1:6" s="137" customFormat="1" x14ac:dyDescent="0.25">
      <c r="A149" s="113" t="s">
        <v>250</v>
      </c>
      <c r="B149" s="114">
        <f t="shared" ref="B149:B172" si="56">SUM(C149:F149)</f>
        <v>0</v>
      </c>
      <c r="C149" s="114"/>
      <c r="D149" s="114"/>
      <c r="E149" s="114"/>
      <c r="F149" s="115"/>
    </row>
    <row r="150" spans="1:6" s="137" customFormat="1" x14ac:dyDescent="0.25">
      <c r="A150" s="113" t="s">
        <v>251</v>
      </c>
      <c r="B150" s="114">
        <f t="shared" si="56"/>
        <v>0</v>
      </c>
      <c r="C150" s="114"/>
      <c r="D150" s="114"/>
      <c r="E150" s="114"/>
      <c r="F150" s="115"/>
    </row>
    <row r="151" spans="1:6" s="137" customFormat="1" x14ac:dyDescent="0.25">
      <c r="A151" s="113" t="s">
        <v>168</v>
      </c>
      <c r="B151" s="114">
        <f t="shared" si="56"/>
        <v>0</v>
      </c>
      <c r="C151" s="114"/>
      <c r="D151" s="114"/>
      <c r="E151" s="114"/>
      <c r="F151" s="115"/>
    </row>
    <row r="152" spans="1:6" s="137" customFormat="1" x14ac:dyDescent="0.25">
      <c r="A152" s="113" t="s">
        <v>252</v>
      </c>
      <c r="B152" s="114">
        <f t="shared" si="56"/>
        <v>0</v>
      </c>
      <c r="C152" s="114"/>
      <c r="D152" s="114"/>
      <c r="E152" s="114"/>
      <c r="F152" s="115"/>
    </row>
    <row r="153" spans="1:6" x14ac:dyDescent="0.25">
      <c r="A153" s="93" t="s">
        <v>254</v>
      </c>
      <c r="B153" s="35">
        <f t="shared" si="56"/>
        <v>1405000</v>
      </c>
      <c r="C153" s="35">
        <f t="shared" ref="C153:F153" si="57">SUM(C154:C157)</f>
        <v>1140000</v>
      </c>
      <c r="D153" s="35">
        <f t="shared" si="57"/>
        <v>265000</v>
      </c>
      <c r="E153" s="35">
        <f t="shared" si="57"/>
        <v>0</v>
      </c>
      <c r="F153" s="95">
        <f t="shared" si="57"/>
        <v>0</v>
      </c>
    </row>
    <row r="154" spans="1:6" s="137" customFormat="1" x14ac:dyDescent="0.25">
      <c r="A154" s="113" t="s">
        <v>250</v>
      </c>
      <c r="B154" s="114">
        <f t="shared" si="56"/>
        <v>910000</v>
      </c>
      <c r="C154" s="114">
        <v>910000</v>
      </c>
      <c r="D154" s="114"/>
      <c r="E154" s="114"/>
      <c r="F154" s="115"/>
    </row>
    <row r="155" spans="1:6" s="137" customFormat="1" x14ac:dyDescent="0.25">
      <c r="A155" s="113" t="s">
        <v>251</v>
      </c>
      <c r="B155" s="114">
        <f t="shared" si="56"/>
        <v>20000</v>
      </c>
      <c r="C155" s="114">
        <v>20000</v>
      </c>
      <c r="D155" s="114"/>
      <c r="E155" s="114"/>
      <c r="F155" s="115"/>
    </row>
    <row r="156" spans="1:6" s="137" customFormat="1" x14ac:dyDescent="0.25">
      <c r="A156" s="113" t="s">
        <v>168</v>
      </c>
      <c r="B156" s="114">
        <f t="shared" si="56"/>
        <v>265000</v>
      </c>
      <c r="C156" s="114"/>
      <c r="D156" s="114">
        <v>265000</v>
      </c>
      <c r="E156" s="114"/>
      <c r="F156" s="115"/>
    </row>
    <row r="157" spans="1:6" s="137" customFormat="1" x14ac:dyDescent="0.25">
      <c r="A157" s="113" t="s">
        <v>395</v>
      </c>
      <c r="B157" s="114">
        <f t="shared" si="56"/>
        <v>210000</v>
      </c>
      <c r="C157" s="114">
        <v>210000</v>
      </c>
      <c r="D157" s="114"/>
      <c r="E157" s="114"/>
      <c r="F157" s="115"/>
    </row>
    <row r="158" spans="1:6" ht="30" x14ac:dyDescent="0.25">
      <c r="A158" s="120" t="s">
        <v>255</v>
      </c>
      <c r="B158" s="35">
        <f t="shared" si="56"/>
        <v>52000</v>
      </c>
      <c r="C158" s="35">
        <f t="shared" ref="C158:F158" si="58">SUM(C159:C162)</f>
        <v>10000</v>
      </c>
      <c r="D158" s="35">
        <f t="shared" si="58"/>
        <v>42000</v>
      </c>
      <c r="E158" s="35">
        <f t="shared" si="58"/>
        <v>0</v>
      </c>
      <c r="F158" s="95">
        <f t="shared" si="58"/>
        <v>0</v>
      </c>
    </row>
    <row r="159" spans="1:6" s="137" customFormat="1" x14ac:dyDescent="0.25">
      <c r="A159" s="113" t="s">
        <v>250</v>
      </c>
      <c r="B159" s="114">
        <f t="shared" si="56"/>
        <v>0</v>
      </c>
      <c r="C159" s="114"/>
      <c r="D159" s="114"/>
      <c r="E159" s="114"/>
      <c r="F159" s="115"/>
    </row>
    <row r="160" spans="1:6" s="137" customFormat="1" x14ac:dyDescent="0.25">
      <c r="A160" s="113" t="s">
        <v>251</v>
      </c>
      <c r="B160" s="114">
        <f t="shared" si="56"/>
        <v>0</v>
      </c>
      <c r="C160" s="114"/>
      <c r="D160" s="114"/>
      <c r="E160" s="114"/>
      <c r="F160" s="115"/>
    </row>
    <row r="161" spans="1:6" s="137" customFormat="1" x14ac:dyDescent="0.25">
      <c r="A161" s="113" t="s">
        <v>168</v>
      </c>
      <c r="B161" s="114">
        <f t="shared" si="56"/>
        <v>52000</v>
      </c>
      <c r="C161" s="114">
        <v>10000</v>
      </c>
      <c r="D161" s="114">
        <v>42000</v>
      </c>
      <c r="E161" s="114"/>
      <c r="F161" s="115"/>
    </row>
    <row r="162" spans="1:6" s="137" customFormat="1" x14ac:dyDescent="0.25">
      <c r="A162" s="113" t="s">
        <v>252</v>
      </c>
      <c r="B162" s="114">
        <f t="shared" si="56"/>
        <v>0</v>
      </c>
      <c r="C162" s="114"/>
      <c r="D162" s="114"/>
      <c r="E162" s="114"/>
      <c r="F162" s="115"/>
    </row>
    <row r="163" spans="1:6" ht="30" x14ac:dyDescent="0.25">
      <c r="A163" s="120" t="s">
        <v>256</v>
      </c>
      <c r="B163" s="35">
        <f t="shared" si="56"/>
        <v>0</v>
      </c>
      <c r="C163" s="35">
        <f t="shared" ref="C163:F163" si="59">SUM(C164:C167)</f>
        <v>0</v>
      </c>
      <c r="D163" s="35">
        <f t="shared" si="59"/>
        <v>0</v>
      </c>
      <c r="E163" s="35">
        <f t="shared" si="59"/>
        <v>0</v>
      </c>
      <c r="F163" s="95">
        <f t="shared" si="59"/>
        <v>0</v>
      </c>
    </row>
    <row r="164" spans="1:6" s="137" customFormat="1" x14ac:dyDescent="0.25">
      <c r="A164" s="113" t="s">
        <v>250</v>
      </c>
      <c r="B164" s="114">
        <f t="shared" si="56"/>
        <v>0</v>
      </c>
      <c r="C164" s="114"/>
      <c r="D164" s="114"/>
      <c r="E164" s="114"/>
      <c r="F164" s="115"/>
    </row>
    <row r="165" spans="1:6" s="137" customFormat="1" x14ac:dyDescent="0.25">
      <c r="A165" s="113" t="s">
        <v>251</v>
      </c>
      <c r="B165" s="114">
        <f t="shared" si="56"/>
        <v>0</v>
      </c>
      <c r="C165" s="114"/>
      <c r="D165" s="114"/>
      <c r="E165" s="114"/>
      <c r="F165" s="115"/>
    </row>
    <row r="166" spans="1:6" s="137" customFormat="1" x14ac:dyDescent="0.25">
      <c r="A166" s="113" t="s">
        <v>168</v>
      </c>
      <c r="B166" s="114">
        <f t="shared" si="56"/>
        <v>0</v>
      </c>
      <c r="C166" s="114"/>
      <c r="D166" s="114"/>
      <c r="E166" s="114"/>
      <c r="F166" s="115"/>
    </row>
    <row r="167" spans="1:6" s="137" customFormat="1" x14ac:dyDescent="0.25">
      <c r="A167" s="113" t="s">
        <v>252</v>
      </c>
      <c r="B167" s="114">
        <f t="shared" si="56"/>
        <v>0</v>
      </c>
      <c r="C167" s="114"/>
      <c r="D167" s="114"/>
      <c r="E167" s="114"/>
      <c r="F167" s="115"/>
    </row>
    <row r="168" spans="1:6" ht="44.25" customHeight="1" x14ac:dyDescent="0.25">
      <c r="A168" s="120" t="s">
        <v>257</v>
      </c>
      <c r="B168" s="35">
        <f t="shared" si="56"/>
        <v>0</v>
      </c>
      <c r="C168" s="35">
        <f t="shared" ref="C168:F168" si="60">SUM(C169:C172)</f>
        <v>0</v>
      </c>
      <c r="D168" s="35">
        <f t="shared" si="60"/>
        <v>0</v>
      </c>
      <c r="E168" s="35">
        <f t="shared" si="60"/>
        <v>0</v>
      </c>
      <c r="F168" s="95">
        <f t="shared" si="60"/>
        <v>0</v>
      </c>
    </row>
    <row r="169" spans="1:6" s="137" customFormat="1" x14ac:dyDescent="0.25">
      <c r="A169" s="113" t="s">
        <v>250</v>
      </c>
      <c r="B169" s="114">
        <f t="shared" si="56"/>
        <v>0</v>
      </c>
      <c r="C169" s="114"/>
      <c r="D169" s="114"/>
      <c r="E169" s="114"/>
      <c r="F169" s="115"/>
    </row>
    <row r="170" spans="1:6" s="137" customFormat="1" x14ac:dyDescent="0.25">
      <c r="A170" s="113" t="s">
        <v>251</v>
      </c>
      <c r="B170" s="114">
        <f t="shared" si="56"/>
        <v>0</v>
      </c>
      <c r="C170" s="114"/>
      <c r="D170" s="114"/>
      <c r="E170" s="114"/>
      <c r="F170" s="115"/>
    </row>
    <row r="171" spans="1:6" s="137" customFormat="1" x14ac:dyDescent="0.25">
      <c r="A171" s="113" t="s">
        <v>168</v>
      </c>
      <c r="B171" s="114">
        <f t="shared" si="56"/>
        <v>0</v>
      </c>
      <c r="C171" s="114"/>
      <c r="D171" s="114"/>
      <c r="E171" s="114"/>
      <c r="F171" s="115"/>
    </row>
    <row r="172" spans="1:6" s="137" customFormat="1" x14ac:dyDescent="0.25">
      <c r="A172" s="113" t="s">
        <v>252</v>
      </c>
      <c r="B172" s="114">
        <f t="shared" si="56"/>
        <v>0</v>
      </c>
      <c r="C172" s="114"/>
      <c r="D172" s="114"/>
      <c r="E172" s="114"/>
      <c r="F172" s="115"/>
    </row>
    <row r="173" spans="1:6" x14ac:dyDescent="0.25">
      <c r="A173" s="93" t="s">
        <v>258</v>
      </c>
      <c r="B173" s="35">
        <f>SUM(C173:F173)</f>
        <v>2110083</v>
      </c>
      <c r="C173" s="35">
        <f>SUM(C174:C177)</f>
        <v>911940</v>
      </c>
      <c r="D173" s="35">
        <f t="shared" ref="D173:F173" si="61">SUM(D174:D177)</f>
        <v>0</v>
      </c>
      <c r="E173" s="35">
        <f t="shared" si="61"/>
        <v>1198143</v>
      </c>
      <c r="F173" s="95">
        <f t="shared" si="61"/>
        <v>0</v>
      </c>
    </row>
    <row r="174" spans="1:6" s="137" customFormat="1" x14ac:dyDescent="0.25">
      <c r="A174" s="113" t="s">
        <v>250</v>
      </c>
      <c r="B174" s="114">
        <f t="shared" ref="B174:B177" si="62">SUM(C174:F174)</f>
        <v>2065583</v>
      </c>
      <c r="C174" s="114">
        <v>867440</v>
      </c>
      <c r="D174" s="114"/>
      <c r="E174" s="114">
        <v>1198143</v>
      </c>
      <c r="F174" s="115"/>
    </row>
    <row r="175" spans="1:6" s="137" customFormat="1" x14ac:dyDescent="0.25">
      <c r="A175" s="113" t="s">
        <v>251</v>
      </c>
      <c r="B175" s="114">
        <f t="shared" si="62"/>
        <v>0</v>
      </c>
      <c r="C175" s="114"/>
      <c r="D175" s="114"/>
      <c r="E175" s="114"/>
      <c r="F175" s="115"/>
    </row>
    <row r="176" spans="1:6" s="137" customFormat="1" x14ac:dyDescent="0.25">
      <c r="A176" s="113" t="s">
        <v>168</v>
      </c>
      <c r="B176" s="114">
        <f t="shared" si="62"/>
        <v>44500</v>
      </c>
      <c r="C176" s="114">
        <v>44500</v>
      </c>
      <c r="D176" s="114"/>
      <c r="E176" s="114"/>
      <c r="F176" s="115"/>
    </row>
    <row r="177" spans="1:6" s="137" customFormat="1" ht="15.75" thickBot="1" x14ac:dyDescent="0.3">
      <c r="A177" s="125" t="s">
        <v>252</v>
      </c>
      <c r="B177" s="114">
        <f t="shared" si="62"/>
        <v>0</v>
      </c>
      <c r="C177" s="117"/>
      <c r="D177" s="117"/>
      <c r="E177" s="117"/>
      <c r="F177" s="118"/>
    </row>
    <row r="180" spans="1:6" x14ac:dyDescent="0.25">
      <c r="A180" s="32" t="s">
        <v>372</v>
      </c>
    </row>
    <row r="181" spans="1:6" x14ac:dyDescent="0.25">
      <c r="A181" s="32" t="s">
        <v>387</v>
      </c>
      <c r="C181" s="45">
        <v>930000</v>
      </c>
    </row>
    <row r="182" spans="1:6" x14ac:dyDescent="0.25">
      <c r="A182" s="32" t="s">
        <v>373</v>
      </c>
      <c r="C182" s="45">
        <v>48000</v>
      </c>
    </row>
    <row r="183" spans="1:6" x14ac:dyDescent="0.25">
      <c r="A183" s="32" t="s">
        <v>379</v>
      </c>
      <c r="C183" s="45">
        <v>4000</v>
      </c>
    </row>
    <row r="184" spans="1:6" x14ac:dyDescent="0.25">
      <c r="A184" s="32" t="s">
        <v>383</v>
      </c>
      <c r="C184" s="45">
        <v>44500</v>
      </c>
    </row>
    <row r="185" spans="1:6" x14ac:dyDescent="0.25">
      <c r="A185" s="32" t="s">
        <v>388</v>
      </c>
      <c r="C185" s="45">
        <v>265000</v>
      </c>
    </row>
    <row r="186" spans="1:6" x14ac:dyDescent="0.25">
      <c r="A186" s="32" t="s">
        <v>389</v>
      </c>
      <c r="C186" s="45">
        <v>542440</v>
      </c>
    </row>
    <row r="187" spans="1:6" x14ac:dyDescent="0.25">
      <c r="A187" s="32" t="s">
        <v>390</v>
      </c>
      <c r="C187" s="45">
        <v>1523143</v>
      </c>
    </row>
    <row r="188" spans="1:6" x14ac:dyDescent="0.25">
      <c r="A188" s="32" t="s">
        <v>393</v>
      </c>
      <c r="C188" s="45">
        <v>7500</v>
      </c>
    </row>
    <row r="189" spans="1:6" x14ac:dyDescent="0.25">
      <c r="A189" s="32" t="s">
        <v>394</v>
      </c>
      <c r="C189" s="45">
        <v>202500</v>
      </c>
    </row>
  </sheetData>
  <mergeCells count="1">
    <mergeCell ref="A2:F2"/>
  </mergeCells>
  <conditionalFormatting sqref="B6:F42">
    <cfRule type="colorScale" priority="41">
      <colorScale>
        <cfvo type="num" val="0"/>
        <cfvo type="num" val="0"/>
        <color theme="4" tint="0.39997558519241921"/>
        <color theme="0"/>
      </colorScale>
    </cfRule>
  </conditionalFormatting>
  <conditionalFormatting sqref="A58:XFD58 B44:F177">
    <cfRule type="colorScale" priority="39">
      <colorScale>
        <cfvo type="num" val="0"/>
        <cfvo type="num" val="0"/>
        <color theme="4" tint="0.59999389629810485"/>
        <color theme="0"/>
      </colorScale>
    </cfRule>
  </conditionalFormatting>
  <conditionalFormatting sqref="B132:F132">
    <cfRule type="colorScale" priority="32">
      <colorScale>
        <cfvo type="num" val="0"/>
        <cfvo type="num" val="0"/>
        <color theme="9" tint="0.59999389629810485"/>
        <color theme="9" tint="0.59999389629810485"/>
      </colorScale>
    </cfRule>
  </conditionalFormatting>
  <conditionalFormatting sqref="B6:B35">
    <cfRule type="colorScale" priority="26">
      <colorScale>
        <cfvo type="min"/>
        <cfvo type="max"/>
        <color theme="8" tint="0.59999389629810485"/>
        <color rgb="FFFFEF9C"/>
      </colorScale>
    </cfRule>
  </conditionalFormatting>
  <conditionalFormatting sqref="B36:B42 C143:F143 B130:B177 B111:B128 B58:B109 B44:B56">
    <cfRule type="colorScale" priority="25">
      <colorScale>
        <cfvo type="min"/>
        <cfvo type="max"/>
        <color theme="8" tint="0.59999389629810485"/>
        <color rgb="FFFFEF9C"/>
      </colorScale>
    </cfRule>
  </conditionalFormatting>
  <conditionalFormatting sqref="B87:B90">
    <cfRule type="colorScale" priority="24">
      <colorScale>
        <cfvo type="min"/>
        <cfvo type="max"/>
        <color theme="8" tint="0.59999389629810485"/>
        <color rgb="FFFFEF9C"/>
      </colorScale>
    </cfRule>
  </conditionalFormatting>
  <conditionalFormatting sqref="B117">
    <cfRule type="colorScale" priority="23">
      <colorScale>
        <cfvo type="min"/>
        <cfvo type="max"/>
        <color theme="8" tint="0.59999389629810485"/>
        <color rgb="FFFFEF9C"/>
      </colorScale>
    </cfRule>
  </conditionalFormatting>
  <conditionalFormatting sqref="B118:B127">
    <cfRule type="colorScale" priority="22">
      <colorScale>
        <cfvo type="min"/>
        <cfvo type="max"/>
        <color theme="8" tint="0.59999389629810485"/>
        <color rgb="FFFFEF9C"/>
      </colorScale>
    </cfRule>
  </conditionalFormatting>
  <conditionalFormatting sqref="C43:F43 C143:F143 B6:B177">
    <cfRule type="colorScale" priority="19">
      <colorScale>
        <cfvo type="num" val="0"/>
        <cfvo type="num" val="0"/>
        <color theme="4" tint="0.39997558519241921"/>
        <color theme="9" tint="0.39997558519241921"/>
      </colorScale>
    </cfRule>
  </conditionalFormatting>
  <conditionalFormatting sqref="A110:F110 A43:F43">
    <cfRule type="colorScale" priority="17">
      <colorScale>
        <cfvo type="num" val="0"/>
        <cfvo type="num" val="0"/>
        <color theme="2" tint="-0.249977111117893"/>
        <color theme="2" tint="-0.249977111117893"/>
      </colorScale>
    </cfRule>
  </conditionalFormatting>
  <conditionalFormatting sqref="A69:F69">
    <cfRule type="colorScale" priority="16">
      <colorScale>
        <cfvo type="num" val="0"/>
        <cfvo type="num" val="0"/>
        <color theme="4" tint="0.59999389629810485"/>
        <color theme="9" tint="0.59999389629810485"/>
      </colorScale>
    </cfRule>
  </conditionalFormatting>
  <conditionalFormatting sqref="B69">
    <cfRule type="colorScale" priority="13">
      <colorScale>
        <cfvo type="num" val="0"/>
        <cfvo type="num" val="0"/>
        <color theme="4" tint="0.59999389629810485"/>
        <color theme="9" tint="0.39997558519241921"/>
      </colorScale>
    </cfRule>
  </conditionalFormatting>
  <conditionalFormatting sqref="B144:F147">
    <cfRule type="colorScale" priority="12">
      <colorScale>
        <cfvo type="num" val="0"/>
        <cfvo type="num" val="0"/>
        <color theme="4" tint="0.59999389629810485"/>
        <color theme="2"/>
      </colorScale>
    </cfRule>
  </conditionalFormatting>
  <conditionalFormatting sqref="B144:B177">
    <cfRule type="colorScale" priority="10">
      <colorScale>
        <cfvo type="num" val="0"/>
        <cfvo type="num" val="0"/>
        <color theme="4" tint="0.59999389629810485"/>
        <color theme="9" tint="0.59999389629810485"/>
      </colorScale>
    </cfRule>
  </conditionalFormatting>
  <conditionalFormatting sqref="B130:B132 B134:B142 B144:B177 B111:B128 B58:B109 B6:B56">
    <cfRule type="colorScale" priority="9">
      <colorScale>
        <cfvo type="num" val="0"/>
        <cfvo type="num" val="0"/>
        <color theme="4" tint="0.59999389629810485"/>
        <color theme="9" tint="0.59999389629810485"/>
      </colorScale>
    </cfRule>
  </conditionalFormatting>
  <conditionalFormatting sqref="A143:F143 B144:B147 A36:F36">
    <cfRule type="colorScale" priority="8">
      <colorScale>
        <cfvo type="num" val="0"/>
        <cfvo type="num" val="0"/>
        <color theme="4" tint="0.59999389629810485"/>
        <color theme="2" tint="-0.249977111117893"/>
      </colorScale>
    </cfRule>
  </conditionalFormatting>
  <conditionalFormatting sqref="B43">
    <cfRule type="colorScale" priority="5">
      <colorScale>
        <cfvo type="num" val="0"/>
        <cfvo type="num" val="0"/>
        <color theme="4" tint="0.59999389629810485"/>
        <color theme="2" tint="-0.249977111117893"/>
      </colorScale>
    </cfRule>
  </conditionalFormatting>
  <conditionalFormatting sqref="B133">
    <cfRule type="colorScale" priority="4">
      <colorScale>
        <cfvo type="num" val="0"/>
        <cfvo type="num" val="0"/>
        <color theme="4" tint="0.59999389629810485"/>
        <color theme="2" tint="-0.249977111117893"/>
      </colorScale>
    </cfRule>
  </conditionalFormatting>
  <conditionalFormatting sqref="A132:F132">
    <cfRule type="colorScale" priority="2">
      <colorScale>
        <cfvo type="num" val="0"/>
        <cfvo type="num" val="0"/>
        <color theme="4" tint="0.59999389629810485"/>
        <color theme="9" tint="0.39997558519241921"/>
      </colorScale>
    </cfRule>
    <cfRule type="colorScale" priority="3">
      <colorScale>
        <cfvo type="num" val="0"/>
        <cfvo type="num" val="0"/>
        <color theme="8" tint="0.59999389629810485"/>
        <color theme="2" tint="-0.249977111117893"/>
      </colorScale>
    </cfRule>
  </conditionalFormatting>
  <conditionalFormatting sqref="A129:F129">
    <cfRule type="colorScale" priority="47">
      <colorScale>
        <cfvo type="num" val="0"/>
        <cfvo type="num" val="0"/>
        <color theme="2" tint="-0.249977111117893"/>
        <color theme="2" tint="-0.249977111117893"/>
      </colorScale>
    </cfRule>
    <cfRule type="colorScale" priority="48">
      <colorScale>
        <cfvo type="min"/>
        <cfvo type="max"/>
        <color theme="2" tint="-0.249977111117893"/>
        <color theme="2" tint="-0.249977111117893"/>
      </colorScale>
    </cfRule>
  </conditionalFormatting>
  <conditionalFormatting sqref="A57:F57">
    <cfRule type="colorScale" priority="51">
      <colorScale>
        <cfvo type="num" val="0"/>
        <cfvo type="num" val="0"/>
        <color theme="2" tint="-0.249977111117893"/>
        <color theme="2" tint="-0.249977111117893"/>
      </colorScale>
    </cfRule>
    <cfRule type="colorScale" priority="52">
      <colorScale>
        <cfvo type="min"/>
        <cfvo type="max"/>
        <color theme="2" tint="-0.249977111117893"/>
        <color theme="2" tint="-0.249977111117893"/>
      </colorScale>
    </cfRule>
  </conditionalFormatting>
  <conditionalFormatting sqref="B58:F58">
    <cfRule type="colorScale" priority="55">
      <colorScale>
        <cfvo type="min"/>
        <cfvo type="max"/>
        <color theme="4" tint="0.39997558519241921"/>
        <color theme="9" tint="0.79998168889431442"/>
      </colorScale>
    </cfRule>
  </conditionalFormatting>
  <conditionalFormatting sqref="A58:F58">
    <cfRule type="colorScale" priority="56">
      <colorScale>
        <cfvo type="min"/>
        <cfvo type="max"/>
        <color theme="9" tint="0.59999389629810485"/>
        <color theme="9" tint="0.59999389629810485"/>
      </colorScale>
    </cfRule>
  </conditionalFormatting>
  <conditionalFormatting sqref="A133:F133">
    <cfRule type="colorScale" priority="62">
      <colorScale>
        <cfvo type="num" val="0"/>
        <cfvo type="num" val="0"/>
        <color theme="2" tint="-0.249977111117893"/>
        <color theme="2" tint="-0.249977111117893"/>
      </colorScale>
    </cfRule>
    <cfRule type="colorScale" priority="63">
      <colorScale>
        <cfvo type="min"/>
        <cfvo type="max"/>
        <color theme="8" tint="0.59999389629810485"/>
        <color theme="2" tint="-0.249977111117893"/>
      </colorScale>
    </cfRule>
  </conditionalFormatting>
  <conditionalFormatting sqref="B144:F147 A143:F143">
    <cfRule type="colorScale" priority="66">
      <colorScale>
        <cfvo type="num" val="0"/>
        <cfvo type="num" val="0"/>
        <color theme="2" tint="-0.249977111117893"/>
        <color theme="2" tint="-0.249977111117893"/>
      </colorScale>
    </cfRule>
    <cfRule type="colorScale" priority="67">
      <colorScale>
        <cfvo type="min"/>
        <cfvo type="max"/>
        <color theme="8" tint="0.59999389629810485"/>
        <color theme="2" tint="-0.249977111117893"/>
      </colorScale>
    </cfRule>
  </conditionalFormatting>
  <pageMargins left="0.15" right="0.12" top="0.27" bottom="0.28999999999999998" header="0.17" footer="0.12"/>
  <pageSetup paperSize="9" scale="90" orientation="portrait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807A-E96B-4C91-B2C9-9D698627C759}">
  <dimension ref="A1:I344"/>
  <sheetViews>
    <sheetView topLeftCell="A76" workbookViewId="0">
      <selection activeCell="E74" sqref="E74"/>
    </sheetView>
  </sheetViews>
  <sheetFormatPr defaultColWidth="9.140625" defaultRowHeight="15.75" x14ac:dyDescent="0.25"/>
  <cols>
    <col min="1" max="1" width="50.28515625" style="155" customWidth="1"/>
    <col min="2" max="2" width="6.7109375" style="163" customWidth="1"/>
    <col min="3" max="3" width="11.7109375" style="163" customWidth="1"/>
    <col min="4" max="4" width="10.28515625" style="163" customWidth="1"/>
    <col min="5" max="5" width="11.85546875" style="154" customWidth="1"/>
    <col min="6" max="6" width="12.5703125" style="155" customWidth="1"/>
    <col min="7" max="7" width="10.42578125" style="155" customWidth="1"/>
    <col min="8" max="8" width="11.42578125" style="155" customWidth="1"/>
    <col min="9" max="9" width="10.85546875" style="155" customWidth="1"/>
    <col min="10" max="10" width="9.7109375" style="155" bestFit="1" customWidth="1"/>
    <col min="11" max="254" width="9.140625" style="155"/>
    <col min="255" max="255" width="93.140625" style="155" customWidth="1"/>
    <col min="256" max="256" width="17.85546875" style="155" customWidth="1"/>
    <col min="257" max="257" width="16.42578125" style="155" customWidth="1"/>
    <col min="258" max="258" width="19.7109375" style="155" customWidth="1"/>
    <col min="259" max="259" width="16.85546875" style="155" customWidth="1"/>
    <col min="260" max="260" width="17.42578125" style="155" customWidth="1"/>
    <col min="261" max="261" width="16.28515625" style="155" customWidth="1"/>
    <col min="262" max="262" width="20" style="155" customWidth="1"/>
    <col min="263" max="263" width="18.42578125" style="155" customWidth="1"/>
    <col min="264" max="264" width="20.7109375" style="155" customWidth="1"/>
    <col min="265" max="265" width="9.140625" style="155"/>
    <col min="266" max="266" width="9.7109375" style="155" bestFit="1" customWidth="1"/>
    <col min="267" max="510" width="9.140625" style="155"/>
    <col min="511" max="511" width="93.140625" style="155" customWidth="1"/>
    <col min="512" max="512" width="17.85546875" style="155" customWidth="1"/>
    <col min="513" max="513" width="16.42578125" style="155" customWidth="1"/>
    <col min="514" max="514" width="19.7109375" style="155" customWidth="1"/>
    <col min="515" max="515" width="16.85546875" style="155" customWidth="1"/>
    <col min="516" max="516" width="17.42578125" style="155" customWidth="1"/>
    <col min="517" max="517" width="16.28515625" style="155" customWidth="1"/>
    <col min="518" max="518" width="20" style="155" customWidth="1"/>
    <col min="519" max="519" width="18.42578125" style="155" customWidth="1"/>
    <col min="520" max="520" width="20.7109375" style="155" customWidth="1"/>
    <col min="521" max="521" width="9.140625" style="155"/>
    <col min="522" max="522" width="9.7109375" style="155" bestFit="1" customWidth="1"/>
    <col min="523" max="766" width="9.140625" style="155"/>
    <col min="767" max="767" width="93.140625" style="155" customWidth="1"/>
    <col min="768" max="768" width="17.85546875" style="155" customWidth="1"/>
    <col min="769" max="769" width="16.42578125" style="155" customWidth="1"/>
    <col min="770" max="770" width="19.7109375" style="155" customWidth="1"/>
    <col min="771" max="771" width="16.85546875" style="155" customWidth="1"/>
    <col min="772" max="772" width="17.42578125" style="155" customWidth="1"/>
    <col min="773" max="773" width="16.28515625" style="155" customWidth="1"/>
    <col min="774" max="774" width="20" style="155" customWidth="1"/>
    <col min="775" max="775" width="18.42578125" style="155" customWidth="1"/>
    <col min="776" max="776" width="20.7109375" style="155" customWidth="1"/>
    <col min="777" max="777" width="9.140625" style="155"/>
    <col min="778" max="778" width="9.7109375" style="155" bestFit="1" customWidth="1"/>
    <col min="779" max="1022" width="9.140625" style="155"/>
    <col min="1023" max="1023" width="93.140625" style="155" customWidth="1"/>
    <col min="1024" max="1024" width="17.85546875" style="155" customWidth="1"/>
    <col min="1025" max="1025" width="16.42578125" style="155" customWidth="1"/>
    <col min="1026" max="1026" width="19.7109375" style="155" customWidth="1"/>
    <col min="1027" max="1027" width="16.85546875" style="155" customWidth="1"/>
    <col min="1028" max="1028" width="17.42578125" style="155" customWidth="1"/>
    <col min="1029" max="1029" width="16.28515625" style="155" customWidth="1"/>
    <col min="1030" max="1030" width="20" style="155" customWidth="1"/>
    <col min="1031" max="1031" width="18.42578125" style="155" customWidth="1"/>
    <col min="1032" max="1032" width="20.7109375" style="155" customWidth="1"/>
    <col min="1033" max="1033" width="9.140625" style="155"/>
    <col min="1034" max="1034" width="9.7109375" style="155" bestFit="1" customWidth="1"/>
    <col min="1035" max="1278" width="9.140625" style="155"/>
    <col min="1279" max="1279" width="93.140625" style="155" customWidth="1"/>
    <col min="1280" max="1280" width="17.85546875" style="155" customWidth="1"/>
    <col min="1281" max="1281" width="16.42578125" style="155" customWidth="1"/>
    <col min="1282" max="1282" width="19.7109375" style="155" customWidth="1"/>
    <col min="1283" max="1283" width="16.85546875" style="155" customWidth="1"/>
    <col min="1284" max="1284" width="17.42578125" style="155" customWidth="1"/>
    <col min="1285" max="1285" width="16.28515625" style="155" customWidth="1"/>
    <col min="1286" max="1286" width="20" style="155" customWidth="1"/>
    <col min="1287" max="1287" width="18.42578125" style="155" customWidth="1"/>
    <col min="1288" max="1288" width="20.7109375" style="155" customWidth="1"/>
    <col min="1289" max="1289" width="9.140625" style="155"/>
    <col min="1290" max="1290" width="9.7109375" style="155" bestFit="1" customWidth="1"/>
    <col min="1291" max="1534" width="9.140625" style="155"/>
    <col min="1535" max="1535" width="93.140625" style="155" customWidth="1"/>
    <col min="1536" max="1536" width="17.85546875" style="155" customWidth="1"/>
    <col min="1537" max="1537" width="16.42578125" style="155" customWidth="1"/>
    <col min="1538" max="1538" width="19.7109375" style="155" customWidth="1"/>
    <col min="1539" max="1539" width="16.85546875" style="155" customWidth="1"/>
    <col min="1540" max="1540" width="17.42578125" style="155" customWidth="1"/>
    <col min="1541" max="1541" width="16.28515625" style="155" customWidth="1"/>
    <col min="1542" max="1542" width="20" style="155" customWidth="1"/>
    <col min="1543" max="1543" width="18.42578125" style="155" customWidth="1"/>
    <col min="1544" max="1544" width="20.7109375" style="155" customWidth="1"/>
    <col min="1545" max="1545" width="9.140625" style="155"/>
    <col min="1546" max="1546" width="9.7109375" style="155" bestFit="1" customWidth="1"/>
    <col min="1547" max="1790" width="9.140625" style="155"/>
    <col min="1791" max="1791" width="93.140625" style="155" customWidth="1"/>
    <col min="1792" max="1792" width="17.85546875" style="155" customWidth="1"/>
    <col min="1793" max="1793" width="16.42578125" style="155" customWidth="1"/>
    <col min="1794" max="1794" width="19.7109375" style="155" customWidth="1"/>
    <col min="1795" max="1795" width="16.85546875" style="155" customWidth="1"/>
    <col min="1796" max="1796" width="17.42578125" style="155" customWidth="1"/>
    <col min="1797" max="1797" width="16.28515625" style="155" customWidth="1"/>
    <col min="1798" max="1798" width="20" style="155" customWidth="1"/>
    <col min="1799" max="1799" width="18.42578125" style="155" customWidth="1"/>
    <col min="1800" max="1800" width="20.7109375" style="155" customWidth="1"/>
    <col min="1801" max="1801" width="9.140625" style="155"/>
    <col min="1802" max="1802" width="9.7109375" style="155" bestFit="1" customWidth="1"/>
    <col min="1803" max="2046" width="9.140625" style="155"/>
    <col min="2047" max="2047" width="93.140625" style="155" customWidth="1"/>
    <col min="2048" max="2048" width="17.85546875" style="155" customWidth="1"/>
    <col min="2049" max="2049" width="16.42578125" style="155" customWidth="1"/>
    <col min="2050" max="2050" width="19.7109375" style="155" customWidth="1"/>
    <col min="2051" max="2051" width="16.85546875" style="155" customWidth="1"/>
    <col min="2052" max="2052" width="17.42578125" style="155" customWidth="1"/>
    <col min="2053" max="2053" width="16.28515625" style="155" customWidth="1"/>
    <col min="2054" max="2054" width="20" style="155" customWidth="1"/>
    <col min="2055" max="2055" width="18.42578125" style="155" customWidth="1"/>
    <col min="2056" max="2056" width="20.7109375" style="155" customWidth="1"/>
    <col min="2057" max="2057" width="9.140625" style="155"/>
    <col min="2058" max="2058" width="9.7109375" style="155" bestFit="1" customWidth="1"/>
    <col min="2059" max="2302" width="9.140625" style="155"/>
    <col min="2303" max="2303" width="93.140625" style="155" customWidth="1"/>
    <col min="2304" max="2304" width="17.85546875" style="155" customWidth="1"/>
    <col min="2305" max="2305" width="16.42578125" style="155" customWidth="1"/>
    <col min="2306" max="2306" width="19.7109375" style="155" customWidth="1"/>
    <col min="2307" max="2307" width="16.85546875" style="155" customWidth="1"/>
    <col min="2308" max="2308" width="17.42578125" style="155" customWidth="1"/>
    <col min="2309" max="2309" width="16.28515625" style="155" customWidth="1"/>
    <col min="2310" max="2310" width="20" style="155" customWidth="1"/>
    <col min="2311" max="2311" width="18.42578125" style="155" customWidth="1"/>
    <col min="2312" max="2312" width="20.7109375" style="155" customWidth="1"/>
    <col min="2313" max="2313" width="9.140625" style="155"/>
    <col min="2314" max="2314" width="9.7109375" style="155" bestFit="1" customWidth="1"/>
    <col min="2315" max="2558" width="9.140625" style="155"/>
    <col min="2559" max="2559" width="93.140625" style="155" customWidth="1"/>
    <col min="2560" max="2560" width="17.85546875" style="155" customWidth="1"/>
    <col min="2561" max="2561" width="16.42578125" style="155" customWidth="1"/>
    <col min="2562" max="2562" width="19.7109375" style="155" customWidth="1"/>
    <col min="2563" max="2563" width="16.85546875" style="155" customWidth="1"/>
    <col min="2564" max="2564" width="17.42578125" style="155" customWidth="1"/>
    <col min="2565" max="2565" width="16.28515625" style="155" customWidth="1"/>
    <col min="2566" max="2566" width="20" style="155" customWidth="1"/>
    <col min="2567" max="2567" width="18.42578125" style="155" customWidth="1"/>
    <col min="2568" max="2568" width="20.7109375" style="155" customWidth="1"/>
    <col min="2569" max="2569" width="9.140625" style="155"/>
    <col min="2570" max="2570" width="9.7109375" style="155" bestFit="1" customWidth="1"/>
    <col min="2571" max="2814" width="9.140625" style="155"/>
    <col min="2815" max="2815" width="93.140625" style="155" customWidth="1"/>
    <col min="2816" max="2816" width="17.85546875" style="155" customWidth="1"/>
    <col min="2817" max="2817" width="16.42578125" style="155" customWidth="1"/>
    <col min="2818" max="2818" width="19.7109375" style="155" customWidth="1"/>
    <col min="2819" max="2819" width="16.85546875" style="155" customWidth="1"/>
    <col min="2820" max="2820" width="17.42578125" style="155" customWidth="1"/>
    <col min="2821" max="2821" width="16.28515625" style="155" customWidth="1"/>
    <col min="2822" max="2822" width="20" style="155" customWidth="1"/>
    <col min="2823" max="2823" width="18.42578125" style="155" customWidth="1"/>
    <col min="2824" max="2824" width="20.7109375" style="155" customWidth="1"/>
    <col min="2825" max="2825" width="9.140625" style="155"/>
    <col min="2826" max="2826" width="9.7109375" style="155" bestFit="1" customWidth="1"/>
    <col min="2827" max="3070" width="9.140625" style="155"/>
    <col min="3071" max="3071" width="93.140625" style="155" customWidth="1"/>
    <col min="3072" max="3072" width="17.85546875" style="155" customWidth="1"/>
    <col min="3073" max="3073" width="16.42578125" style="155" customWidth="1"/>
    <col min="3074" max="3074" width="19.7109375" style="155" customWidth="1"/>
    <col min="3075" max="3075" width="16.85546875" style="155" customWidth="1"/>
    <col min="3076" max="3076" width="17.42578125" style="155" customWidth="1"/>
    <col min="3077" max="3077" width="16.28515625" style="155" customWidth="1"/>
    <col min="3078" max="3078" width="20" style="155" customWidth="1"/>
    <col min="3079" max="3079" width="18.42578125" style="155" customWidth="1"/>
    <col min="3080" max="3080" width="20.7109375" style="155" customWidth="1"/>
    <col min="3081" max="3081" width="9.140625" style="155"/>
    <col min="3082" max="3082" width="9.7109375" style="155" bestFit="1" customWidth="1"/>
    <col min="3083" max="3326" width="9.140625" style="155"/>
    <col min="3327" max="3327" width="93.140625" style="155" customWidth="1"/>
    <col min="3328" max="3328" width="17.85546875" style="155" customWidth="1"/>
    <col min="3329" max="3329" width="16.42578125" style="155" customWidth="1"/>
    <col min="3330" max="3330" width="19.7109375" style="155" customWidth="1"/>
    <col min="3331" max="3331" width="16.85546875" style="155" customWidth="1"/>
    <col min="3332" max="3332" width="17.42578125" style="155" customWidth="1"/>
    <col min="3333" max="3333" width="16.28515625" style="155" customWidth="1"/>
    <col min="3334" max="3334" width="20" style="155" customWidth="1"/>
    <col min="3335" max="3335" width="18.42578125" style="155" customWidth="1"/>
    <col min="3336" max="3336" width="20.7109375" style="155" customWidth="1"/>
    <col min="3337" max="3337" width="9.140625" style="155"/>
    <col min="3338" max="3338" width="9.7109375" style="155" bestFit="1" customWidth="1"/>
    <col min="3339" max="3582" width="9.140625" style="155"/>
    <col min="3583" max="3583" width="93.140625" style="155" customWidth="1"/>
    <col min="3584" max="3584" width="17.85546875" style="155" customWidth="1"/>
    <col min="3585" max="3585" width="16.42578125" style="155" customWidth="1"/>
    <col min="3586" max="3586" width="19.7109375" style="155" customWidth="1"/>
    <col min="3587" max="3587" width="16.85546875" style="155" customWidth="1"/>
    <col min="3588" max="3588" width="17.42578125" style="155" customWidth="1"/>
    <col min="3589" max="3589" width="16.28515625" style="155" customWidth="1"/>
    <col min="3590" max="3590" width="20" style="155" customWidth="1"/>
    <col min="3591" max="3591" width="18.42578125" style="155" customWidth="1"/>
    <col min="3592" max="3592" width="20.7109375" style="155" customWidth="1"/>
    <col min="3593" max="3593" width="9.140625" style="155"/>
    <col min="3594" max="3594" width="9.7109375" style="155" bestFit="1" customWidth="1"/>
    <col min="3595" max="3838" width="9.140625" style="155"/>
    <col min="3839" max="3839" width="93.140625" style="155" customWidth="1"/>
    <col min="3840" max="3840" width="17.85546875" style="155" customWidth="1"/>
    <col min="3841" max="3841" width="16.42578125" style="155" customWidth="1"/>
    <col min="3842" max="3842" width="19.7109375" style="155" customWidth="1"/>
    <col min="3843" max="3843" width="16.85546875" style="155" customWidth="1"/>
    <col min="3844" max="3844" width="17.42578125" style="155" customWidth="1"/>
    <col min="3845" max="3845" width="16.28515625" style="155" customWidth="1"/>
    <col min="3846" max="3846" width="20" style="155" customWidth="1"/>
    <col min="3847" max="3847" width="18.42578125" style="155" customWidth="1"/>
    <col min="3848" max="3848" width="20.7109375" style="155" customWidth="1"/>
    <col min="3849" max="3849" width="9.140625" style="155"/>
    <col min="3850" max="3850" width="9.7109375" style="155" bestFit="1" customWidth="1"/>
    <col min="3851" max="4094" width="9.140625" style="155"/>
    <col min="4095" max="4095" width="93.140625" style="155" customWidth="1"/>
    <col min="4096" max="4096" width="17.85546875" style="155" customWidth="1"/>
    <col min="4097" max="4097" width="16.42578125" style="155" customWidth="1"/>
    <col min="4098" max="4098" width="19.7109375" style="155" customWidth="1"/>
    <col min="4099" max="4099" width="16.85546875" style="155" customWidth="1"/>
    <col min="4100" max="4100" width="17.42578125" style="155" customWidth="1"/>
    <col min="4101" max="4101" width="16.28515625" style="155" customWidth="1"/>
    <col min="4102" max="4102" width="20" style="155" customWidth="1"/>
    <col min="4103" max="4103" width="18.42578125" style="155" customWidth="1"/>
    <col min="4104" max="4104" width="20.7109375" style="155" customWidth="1"/>
    <col min="4105" max="4105" width="9.140625" style="155"/>
    <col min="4106" max="4106" width="9.7109375" style="155" bestFit="1" customWidth="1"/>
    <col min="4107" max="4350" width="9.140625" style="155"/>
    <col min="4351" max="4351" width="93.140625" style="155" customWidth="1"/>
    <col min="4352" max="4352" width="17.85546875" style="155" customWidth="1"/>
    <col min="4353" max="4353" width="16.42578125" style="155" customWidth="1"/>
    <col min="4354" max="4354" width="19.7109375" style="155" customWidth="1"/>
    <col min="4355" max="4355" width="16.85546875" style="155" customWidth="1"/>
    <col min="4356" max="4356" width="17.42578125" style="155" customWidth="1"/>
    <col min="4357" max="4357" width="16.28515625" style="155" customWidth="1"/>
    <col min="4358" max="4358" width="20" style="155" customWidth="1"/>
    <col min="4359" max="4359" width="18.42578125" style="155" customWidth="1"/>
    <col min="4360" max="4360" width="20.7109375" style="155" customWidth="1"/>
    <col min="4361" max="4361" width="9.140625" style="155"/>
    <col min="4362" max="4362" width="9.7109375" style="155" bestFit="1" customWidth="1"/>
    <col min="4363" max="4606" width="9.140625" style="155"/>
    <col min="4607" max="4607" width="93.140625" style="155" customWidth="1"/>
    <col min="4608" max="4608" width="17.85546875" style="155" customWidth="1"/>
    <col min="4609" max="4609" width="16.42578125" style="155" customWidth="1"/>
    <col min="4610" max="4610" width="19.7109375" style="155" customWidth="1"/>
    <col min="4611" max="4611" width="16.85546875" style="155" customWidth="1"/>
    <col min="4612" max="4612" width="17.42578125" style="155" customWidth="1"/>
    <col min="4613" max="4613" width="16.28515625" style="155" customWidth="1"/>
    <col min="4614" max="4614" width="20" style="155" customWidth="1"/>
    <col min="4615" max="4615" width="18.42578125" style="155" customWidth="1"/>
    <col min="4616" max="4616" width="20.7109375" style="155" customWidth="1"/>
    <col min="4617" max="4617" width="9.140625" style="155"/>
    <col min="4618" max="4618" width="9.7109375" style="155" bestFit="1" customWidth="1"/>
    <col min="4619" max="4862" width="9.140625" style="155"/>
    <col min="4863" max="4863" width="93.140625" style="155" customWidth="1"/>
    <col min="4864" max="4864" width="17.85546875" style="155" customWidth="1"/>
    <col min="4865" max="4865" width="16.42578125" style="155" customWidth="1"/>
    <col min="4866" max="4866" width="19.7109375" style="155" customWidth="1"/>
    <col min="4867" max="4867" width="16.85546875" style="155" customWidth="1"/>
    <col min="4868" max="4868" width="17.42578125" style="155" customWidth="1"/>
    <col min="4869" max="4869" width="16.28515625" style="155" customWidth="1"/>
    <col min="4870" max="4870" width="20" style="155" customWidth="1"/>
    <col min="4871" max="4871" width="18.42578125" style="155" customWidth="1"/>
    <col min="4872" max="4872" width="20.7109375" style="155" customWidth="1"/>
    <col min="4873" max="4873" width="9.140625" style="155"/>
    <col min="4874" max="4874" width="9.7109375" style="155" bestFit="1" customWidth="1"/>
    <col min="4875" max="5118" width="9.140625" style="155"/>
    <col min="5119" max="5119" width="93.140625" style="155" customWidth="1"/>
    <col min="5120" max="5120" width="17.85546875" style="155" customWidth="1"/>
    <col min="5121" max="5121" width="16.42578125" style="155" customWidth="1"/>
    <col min="5122" max="5122" width="19.7109375" style="155" customWidth="1"/>
    <col min="5123" max="5123" width="16.85546875" style="155" customWidth="1"/>
    <col min="5124" max="5124" width="17.42578125" style="155" customWidth="1"/>
    <col min="5125" max="5125" width="16.28515625" style="155" customWidth="1"/>
    <col min="5126" max="5126" width="20" style="155" customWidth="1"/>
    <col min="5127" max="5127" width="18.42578125" style="155" customWidth="1"/>
    <col min="5128" max="5128" width="20.7109375" style="155" customWidth="1"/>
    <col min="5129" max="5129" width="9.140625" style="155"/>
    <col min="5130" max="5130" width="9.7109375" style="155" bestFit="1" customWidth="1"/>
    <col min="5131" max="5374" width="9.140625" style="155"/>
    <col min="5375" max="5375" width="93.140625" style="155" customWidth="1"/>
    <col min="5376" max="5376" width="17.85546875" style="155" customWidth="1"/>
    <col min="5377" max="5377" width="16.42578125" style="155" customWidth="1"/>
    <col min="5378" max="5378" width="19.7109375" style="155" customWidth="1"/>
    <col min="5379" max="5379" width="16.85546875" style="155" customWidth="1"/>
    <col min="5380" max="5380" width="17.42578125" style="155" customWidth="1"/>
    <col min="5381" max="5381" width="16.28515625" style="155" customWidth="1"/>
    <col min="5382" max="5382" width="20" style="155" customWidth="1"/>
    <col min="5383" max="5383" width="18.42578125" style="155" customWidth="1"/>
    <col min="5384" max="5384" width="20.7109375" style="155" customWidth="1"/>
    <col min="5385" max="5385" width="9.140625" style="155"/>
    <col min="5386" max="5386" width="9.7109375" style="155" bestFit="1" customWidth="1"/>
    <col min="5387" max="5630" width="9.140625" style="155"/>
    <col min="5631" max="5631" width="93.140625" style="155" customWidth="1"/>
    <col min="5632" max="5632" width="17.85546875" style="155" customWidth="1"/>
    <col min="5633" max="5633" width="16.42578125" style="155" customWidth="1"/>
    <col min="5634" max="5634" width="19.7109375" style="155" customWidth="1"/>
    <col min="5635" max="5635" width="16.85546875" style="155" customWidth="1"/>
    <col min="5636" max="5636" width="17.42578125" style="155" customWidth="1"/>
    <col min="5637" max="5637" width="16.28515625" style="155" customWidth="1"/>
    <col min="5638" max="5638" width="20" style="155" customWidth="1"/>
    <col min="5639" max="5639" width="18.42578125" style="155" customWidth="1"/>
    <col min="5640" max="5640" width="20.7109375" style="155" customWidth="1"/>
    <col min="5641" max="5641" width="9.140625" style="155"/>
    <col min="5642" max="5642" width="9.7109375" style="155" bestFit="1" customWidth="1"/>
    <col min="5643" max="5886" width="9.140625" style="155"/>
    <col min="5887" max="5887" width="93.140625" style="155" customWidth="1"/>
    <col min="5888" max="5888" width="17.85546875" style="155" customWidth="1"/>
    <col min="5889" max="5889" width="16.42578125" style="155" customWidth="1"/>
    <col min="5890" max="5890" width="19.7109375" style="155" customWidth="1"/>
    <col min="5891" max="5891" width="16.85546875" style="155" customWidth="1"/>
    <col min="5892" max="5892" width="17.42578125" style="155" customWidth="1"/>
    <col min="5893" max="5893" width="16.28515625" style="155" customWidth="1"/>
    <col min="5894" max="5894" width="20" style="155" customWidth="1"/>
    <col min="5895" max="5895" width="18.42578125" style="155" customWidth="1"/>
    <col min="5896" max="5896" width="20.7109375" style="155" customWidth="1"/>
    <col min="5897" max="5897" width="9.140625" style="155"/>
    <col min="5898" max="5898" width="9.7109375" style="155" bestFit="1" customWidth="1"/>
    <col min="5899" max="6142" width="9.140625" style="155"/>
    <col min="6143" max="6143" width="93.140625" style="155" customWidth="1"/>
    <col min="6144" max="6144" width="17.85546875" style="155" customWidth="1"/>
    <col min="6145" max="6145" width="16.42578125" style="155" customWidth="1"/>
    <col min="6146" max="6146" width="19.7109375" style="155" customWidth="1"/>
    <col min="6147" max="6147" width="16.85546875" style="155" customWidth="1"/>
    <col min="6148" max="6148" width="17.42578125" style="155" customWidth="1"/>
    <col min="6149" max="6149" width="16.28515625" style="155" customWidth="1"/>
    <col min="6150" max="6150" width="20" style="155" customWidth="1"/>
    <col min="6151" max="6151" width="18.42578125" style="155" customWidth="1"/>
    <col min="6152" max="6152" width="20.7109375" style="155" customWidth="1"/>
    <col min="6153" max="6153" width="9.140625" style="155"/>
    <col min="6154" max="6154" width="9.7109375" style="155" bestFit="1" customWidth="1"/>
    <col min="6155" max="6398" width="9.140625" style="155"/>
    <col min="6399" max="6399" width="93.140625" style="155" customWidth="1"/>
    <col min="6400" max="6400" width="17.85546875" style="155" customWidth="1"/>
    <col min="6401" max="6401" width="16.42578125" style="155" customWidth="1"/>
    <col min="6402" max="6402" width="19.7109375" style="155" customWidth="1"/>
    <col min="6403" max="6403" width="16.85546875" style="155" customWidth="1"/>
    <col min="6404" max="6404" width="17.42578125" style="155" customWidth="1"/>
    <col min="6405" max="6405" width="16.28515625" style="155" customWidth="1"/>
    <col min="6406" max="6406" width="20" style="155" customWidth="1"/>
    <col min="6407" max="6407" width="18.42578125" style="155" customWidth="1"/>
    <col min="6408" max="6408" width="20.7109375" style="155" customWidth="1"/>
    <col min="6409" max="6409" width="9.140625" style="155"/>
    <col min="6410" max="6410" width="9.7109375" style="155" bestFit="1" customWidth="1"/>
    <col min="6411" max="6654" width="9.140625" style="155"/>
    <col min="6655" max="6655" width="93.140625" style="155" customWidth="1"/>
    <col min="6656" max="6656" width="17.85546875" style="155" customWidth="1"/>
    <col min="6657" max="6657" width="16.42578125" style="155" customWidth="1"/>
    <col min="6658" max="6658" width="19.7109375" style="155" customWidth="1"/>
    <col min="6659" max="6659" width="16.85546875" style="155" customWidth="1"/>
    <col min="6660" max="6660" width="17.42578125" style="155" customWidth="1"/>
    <col min="6661" max="6661" width="16.28515625" style="155" customWidth="1"/>
    <col min="6662" max="6662" width="20" style="155" customWidth="1"/>
    <col min="6663" max="6663" width="18.42578125" style="155" customWidth="1"/>
    <col min="6664" max="6664" width="20.7109375" style="155" customWidth="1"/>
    <col min="6665" max="6665" width="9.140625" style="155"/>
    <col min="6666" max="6666" width="9.7109375" style="155" bestFit="1" customWidth="1"/>
    <col min="6667" max="6910" width="9.140625" style="155"/>
    <col min="6911" max="6911" width="93.140625" style="155" customWidth="1"/>
    <col min="6912" max="6912" width="17.85546875" style="155" customWidth="1"/>
    <col min="6913" max="6913" width="16.42578125" style="155" customWidth="1"/>
    <col min="6914" max="6914" width="19.7109375" style="155" customWidth="1"/>
    <col min="6915" max="6915" width="16.85546875" style="155" customWidth="1"/>
    <col min="6916" max="6916" width="17.42578125" style="155" customWidth="1"/>
    <col min="6917" max="6917" width="16.28515625" style="155" customWidth="1"/>
    <col min="6918" max="6918" width="20" style="155" customWidth="1"/>
    <col min="6919" max="6919" width="18.42578125" style="155" customWidth="1"/>
    <col min="6920" max="6920" width="20.7109375" style="155" customWidth="1"/>
    <col min="6921" max="6921" width="9.140625" style="155"/>
    <col min="6922" max="6922" width="9.7109375" style="155" bestFit="1" customWidth="1"/>
    <col min="6923" max="7166" width="9.140625" style="155"/>
    <col min="7167" max="7167" width="93.140625" style="155" customWidth="1"/>
    <col min="7168" max="7168" width="17.85546875" style="155" customWidth="1"/>
    <col min="7169" max="7169" width="16.42578125" style="155" customWidth="1"/>
    <col min="7170" max="7170" width="19.7109375" style="155" customWidth="1"/>
    <col min="7171" max="7171" width="16.85546875" style="155" customWidth="1"/>
    <col min="7172" max="7172" width="17.42578125" style="155" customWidth="1"/>
    <col min="7173" max="7173" width="16.28515625" style="155" customWidth="1"/>
    <col min="7174" max="7174" width="20" style="155" customWidth="1"/>
    <col min="7175" max="7175" width="18.42578125" style="155" customWidth="1"/>
    <col min="7176" max="7176" width="20.7109375" style="155" customWidth="1"/>
    <col min="7177" max="7177" width="9.140625" style="155"/>
    <col min="7178" max="7178" width="9.7109375" style="155" bestFit="1" customWidth="1"/>
    <col min="7179" max="7422" width="9.140625" style="155"/>
    <col min="7423" max="7423" width="93.140625" style="155" customWidth="1"/>
    <col min="7424" max="7424" width="17.85546875" style="155" customWidth="1"/>
    <col min="7425" max="7425" width="16.42578125" style="155" customWidth="1"/>
    <col min="7426" max="7426" width="19.7109375" style="155" customWidth="1"/>
    <col min="7427" max="7427" width="16.85546875" style="155" customWidth="1"/>
    <col min="7428" max="7428" width="17.42578125" style="155" customWidth="1"/>
    <col min="7429" max="7429" width="16.28515625" style="155" customWidth="1"/>
    <col min="7430" max="7430" width="20" style="155" customWidth="1"/>
    <col min="7431" max="7431" width="18.42578125" style="155" customWidth="1"/>
    <col min="7432" max="7432" width="20.7109375" style="155" customWidth="1"/>
    <col min="7433" max="7433" width="9.140625" style="155"/>
    <col min="7434" max="7434" width="9.7109375" style="155" bestFit="1" customWidth="1"/>
    <col min="7435" max="7678" width="9.140625" style="155"/>
    <col min="7679" max="7679" width="93.140625" style="155" customWidth="1"/>
    <col min="7680" max="7680" width="17.85546875" style="155" customWidth="1"/>
    <col min="7681" max="7681" width="16.42578125" style="155" customWidth="1"/>
    <col min="7682" max="7682" width="19.7109375" style="155" customWidth="1"/>
    <col min="7683" max="7683" width="16.85546875" style="155" customWidth="1"/>
    <col min="7684" max="7684" width="17.42578125" style="155" customWidth="1"/>
    <col min="7685" max="7685" width="16.28515625" style="155" customWidth="1"/>
    <col min="7686" max="7686" width="20" style="155" customWidth="1"/>
    <col min="7687" max="7687" width="18.42578125" style="155" customWidth="1"/>
    <col min="7688" max="7688" width="20.7109375" style="155" customWidth="1"/>
    <col min="7689" max="7689" width="9.140625" style="155"/>
    <col min="7690" max="7690" width="9.7109375" style="155" bestFit="1" customWidth="1"/>
    <col min="7691" max="7934" width="9.140625" style="155"/>
    <col min="7935" max="7935" width="93.140625" style="155" customWidth="1"/>
    <col min="7936" max="7936" width="17.85546875" style="155" customWidth="1"/>
    <col min="7937" max="7937" width="16.42578125" style="155" customWidth="1"/>
    <col min="7938" max="7938" width="19.7109375" style="155" customWidth="1"/>
    <col min="7939" max="7939" width="16.85546875" style="155" customWidth="1"/>
    <col min="7940" max="7940" width="17.42578125" style="155" customWidth="1"/>
    <col min="7941" max="7941" width="16.28515625" style="155" customWidth="1"/>
    <col min="7942" max="7942" width="20" style="155" customWidth="1"/>
    <col min="7943" max="7943" width="18.42578125" style="155" customWidth="1"/>
    <col min="7944" max="7944" width="20.7109375" style="155" customWidth="1"/>
    <col min="7945" max="7945" width="9.140625" style="155"/>
    <col min="7946" max="7946" width="9.7109375" style="155" bestFit="1" customWidth="1"/>
    <col min="7947" max="8190" width="9.140625" style="155"/>
    <col min="8191" max="8191" width="93.140625" style="155" customWidth="1"/>
    <col min="8192" max="8192" width="17.85546875" style="155" customWidth="1"/>
    <col min="8193" max="8193" width="16.42578125" style="155" customWidth="1"/>
    <col min="8194" max="8194" width="19.7109375" style="155" customWidth="1"/>
    <col min="8195" max="8195" width="16.85546875" style="155" customWidth="1"/>
    <col min="8196" max="8196" width="17.42578125" style="155" customWidth="1"/>
    <col min="8197" max="8197" width="16.28515625" style="155" customWidth="1"/>
    <col min="8198" max="8198" width="20" style="155" customWidth="1"/>
    <col min="8199" max="8199" width="18.42578125" style="155" customWidth="1"/>
    <col min="8200" max="8200" width="20.7109375" style="155" customWidth="1"/>
    <col min="8201" max="8201" width="9.140625" style="155"/>
    <col min="8202" max="8202" width="9.7109375" style="155" bestFit="1" customWidth="1"/>
    <col min="8203" max="8446" width="9.140625" style="155"/>
    <col min="8447" max="8447" width="93.140625" style="155" customWidth="1"/>
    <col min="8448" max="8448" width="17.85546875" style="155" customWidth="1"/>
    <col min="8449" max="8449" width="16.42578125" style="155" customWidth="1"/>
    <col min="8450" max="8450" width="19.7109375" style="155" customWidth="1"/>
    <col min="8451" max="8451" width="16.85546875" style="155" customWidth="1"/>
    <col min="8452" max="8452" width="17.42578125" style="155" customWidth="1"/>
    <col min="8453" max="8453" width="16.28515625" style="155" customWidth="1"/>
    <col min="8454" max="8454" width="20" style="155" customWidth="1"/>
    <col min="8455" max="8455" width="18.42578125" style="155" customWidth="1"/>
    <col min="8456" max="8456" width="20.7109375" style="155" customWidth="1"/>
    <col min="8457" max="8457" width="9.140625" style="155"/>
    <col min="8458" max="8458" width="9.7109375" style="155" bestFit="1" customWidth="1"/>
    <col min="8459" max="8702" width="9.140625" style="155"/>
    <col min="8703" max="8703" width="93.140625" style="155" customWidth="1"/>
    <col min="8704" max="8704" width="17.85546875" style="155" customWidth="1"/>
    <col min="8705" max="8705" width="16.42578125" style="155" customWidth="1"/>
    <col min="8706" max="8706" width="19.7109375" style="155" customWidth="1"/>
    <col min="8707" max="8707" width="16.85546875" style="155" customWidth="1"/>
    <col min="8708" max="8708" width="17.42578125" style="155" customWidth="1"/>
    <col min="8709" max="8709" width="16.28515625" style="155" customWidth="1"/>
    <col min="8710" max="8710" width="20" style="155" customWidth="1"/>
    <col min="8711" max="8711" width="18.42578125" style="155" customWidth="1"/>
    <col min="8712" max="8712" width="20.7109375" style="155" customWidth="1"/>
    <col min="8713" max="8713" width="9.140625" style="155"/>
    <col min="8714" max="8714" width="9.7109375" style="155" bestFit="1" customWidth="1"/>
    <col min="8715" max="8958" width="9.140625" style="155"/>
    <col min="8959" max="8959" width="93.140625" style="155" customWidth="1"/>
    <col min="8960" max="8960" width="17.85546875" style="155" customWidth="1"/>
    <col min="8961" max="8961" width="16.42578125" style="155" customWidth="1"/>
    <col min="8962" max="8962" width="19.7109375" style="155" customWidth="1"/>
    <col min="8963" max="8963" width="16.85546875" style="155" customWidth="1"/>
    <col min="8964" max="8964" width="17.42578125" style="155" customWidth="1"/>
    <col min="8965" max="8965" width="16.28515625" style="155" customWidth="1"/>
    <col min="8966" max="8966" width="20" style="155" customWidth="1"/>
    <col min="8967" max="8967" width="18.42578125" style="155" customWidth="1"/>
    <col min="8968" max="8968" width="20.7109375" style="155" customWidth="1"/>
    <col min="8969" max="8969" width="9.140625" style="155"/>
    <col min="8970" max="8970" width="9.7109375" style="155" bestFit="1" customWidth="1"/>
    <col min="8971" max="9214" width="9.140625" style="155"/>
    <col min="9215" max="9215" width="93.140625" style="155" customWidth="1"/>
    <col min="9216" max="9216" width="17.85546875" style="155" customWidth="1"/>
    <col min="9217" max="9217" width="16.42578125" style="155" customWidth="1"/>
    <col min="9218" max="9218" width="19.7109375" style="155" customWidth="1"/>
    <col min="9219" max="9219" width="16.85546875" style="155" customWidth="1"/>
    <col min="9220" max="9220" width="17.42578125" style="155" customWidth="1"/>
    <col min="9221" max="9221" width="16.28515625" style="155" customWidth="1"/>
    <col min="9222" max="9222" width="20" style="155" customWidth="1"/>
    <col min="9223" max="9223" width="18.42578125" style="155" customWidth="1"/>
    <col min="9224" max="9224" width="20.7109375" style="155" customWidth="1"/>
    <col min="9225" max="9225" width="9.140625" style="155"/>
    <col min="9226" max="9226" width="9.7109375" style="155" bestFit="1" customWidth="1"/>
    <col min="9227" max="9470" width="9.140625" style="155"/>
    <col min="9471" max="9471" width="93.140625" style="155" customWidth="1"/>
    <col min="9472" max="9472" width="17.85546875" style="155" customWidth="1"/>
    <col min="9473" max="9473" width="16.42578125" style="155" customWidth="1"/>
    <col min="9474" max="9474" width="19.7109375" style="155" customWidth="1"/>
    <col min="9475" max="9475" width="16.85546875" style="155" customWidth="1"/>
    <col min="9476" max="9476" width="17.42578125" style="155" customWidth="1"/>
    <col min="9477" max="9477" width="16.28515625" style="155" customWidth="1"/>
    <col min="9478" max="9478" width="20" style="155" customWidth="1"/>
    <col min="9479" max="9479" width="18.42578125" style="155" customWidth="1"/>
    <col min="9480" max="9480" width="20.7109375" style="155" customWidth="1"/>
    <col min="9481" max="9481" width="9.140625" style="155"/>
    <col min="9482" max="9482" width="9.7109375" style="155" bestFit="1" customWidth="1"/>
    <col min="9483" max="9726" width="9.140625" style="155"/>
    <col min="9727" max="9727" width="93.140625" style="155" customWidth="1"/>
    <col min="9728" max="9728" width="17.85546875" style="155" customWidth="1"/>
    <col min="9729" max="9729" width="16.42578125" style="155" customWidth="1"/>
    <col min="9730" max="9730" width="19.7109375" style="155" customWidth="1"/>
    <col min="9731" max="9731" width="16.85546875" style="155" customWidth="1"/>
    <col min="9732" max="9732" width="17.42578125" style="155" customWidth="1"/>
    <col min="9733" max="9733" width="16.28515625" style="155" customWidth="1"/>
    <col min="9734" max="9734" width="20" style="155" customWidth="1"/>
    <col min="9735" max="9735" width="18.42578125" style="155" customWidth="1"/>
    <col min="9736" max="9736" width="20.7109375" style="155" customWidth="1"/>
    <col min="9737" max="9737" width="9.140625" style="155"/>
    <col min="9738" max="9738" width="9.7109375" style="155" bestFit="1" customWidth="1"/>
    <col min="9739" max="9982" width="9.140625" style="155"/>
    <col min="9983" max="9983" width="93.140625" style="155" customWidth="1"/>
    <col min="9984" max="9984" width="17.85546875" style="155" customWidth="1"/>
    <col min="9985" max="9985" width="16.42578125" style="155" customWidth="1"/>
    <col min="9986" max="9986" width="19.7109375" style="155" customWidth="1"/>
    <col min="9987" max="9987" width="16.85546875" style="155" customWidth="1"/>
    <col min="9988" max="9988" width="17.42578125" style="155" customWidth="1"/>
    <col min="9989" max="9989" width="16.28515625" style="155" customWidth="1"/>
    <col min="9990" max="9990" width="20" style="155" customWidth="1"/>
    <col min="9991" max="9991" width="18.42578125" style="155" customWidth="1"/>
    <col min="9992" max="9992" width="20.7109375" style="155" customWidth="1"/>
    <col min="9993" max="9993" width="9.140625" style="155"/>
    <col min="9994" max="9994" width="9.7109375" style="155" bestFit="1" customWidth="1"/>
    <col min="9995" max="10238" width="9.140625" style="155"/>
    <col min="10239" max="10239" width="93.140625" style="155" customWidth="1"/>
    <col min="10240" max="10240" width="17.85546875" style="155" customWidth="1"/>
    <col min="10241" max="10241" width="16.42578125" style="155" customWidth="1"/>
    <col min="10242" max="10242" width="19.7109375" style="155" customWidth="1"/>
    <col min="10243" max="10243" width="16.85546875" style="155" customWidth="1"/>
    <col min="10244" max="10244" width="17.42578125" style="155" customWidth="1"/>
    <col min="10245" max="10245" width="16.28515625" style="155" customWidth="1"/>
    <col min="10246" max="10246" width="20" style="155" customWidth="1"/>
    <col min="10247" max="10247" width="18.42578125" style="155" customWidth="1"/>
    <col min="10248" max="10248" width="20.7109375" style="155" customWidth="1"/>
    <col min="10249" max="10249" width="9.140625" style="155"/>
    <col min="10250" max="10250" width="9.7109375" style="155" bestFit="1" customWidth="1"/>
    <col min="10251" max="10494" width="9.140625" style="155"/>
    <col min="10495" max="10495" width="93.140625" style="155" customWidth="1"/>
    <col min="10496" max="10496" width="17.85546875" style="155" customWidth="1"/>
    <col min="10497" max="10497" width="16.42578125" style="155" customWidth="1"/>
    <col min="10498" max="10498" width="19.7109375" style="155" customWidth="1"/>
    <col min="10499" max="10499" width="16.85546875" style="155" customWidth="1"/>
    <col min="10500" max="10500" width="17.42578125" style="155" customWidth="1"/>
    <col min="10501" max="10501" width="16.28515625" style="155" customWidth="1"/>
    <col min="10502" max="10502" width="20" style="155" customWidth="1"/>
    <col min="10503" max="10503" width="18.42578125" style="155" customWidth="1"/>
    <col min="10504" max="10504" width="20.7109375" style="155" customWidth="1"/>
    <col min="10505" max="10505" width="9.140625" style="155"/>
    <col min="10506" max="10506" width="9.7109375" style="155" bestFit="1" customWidth="1"/>
    <col min="10507" max="10750" width="9.140625" style="155"/>
    <col min="10751" max="10751" width="93.140625" style="155" customWidth="1"/>
    <col min="10752" max="10752" width="17.85546875" style="155" customWidth="1"/>
    <col min="10753" max="10753" width="16.42578125" style="155" customWidth="1"/>
    <col min="10754" max="10754" width="19.7109375" style="155" customWidth="1"/>
    <col min="10755" max="10755" width="16.85546875" style="155" customWidth="1"/>
    <col min="10756" max="10756" width="17.42578125" style="155" customWidth="1"/>
    <col min="10757" max="10757" width="16.28515625" style="155" customWidth="1"/>
    <col min="10758" max="10758" width="20" style="155" customWidth="1"/>
    <col min="10759" max="10759" width="18.42578125" style="155" customWidth="1"/>
    <col min="10760" max="10760" width="20.7109375" style="155" customWidth="1"/>
    <col min="10761" max="10761" width="9.140625" style="155"/>
    <col min="10762" max="10762" width="9.7109375" style="155" bestFit="1" customWidth="1"/>
    <col min="10763" max="11006" width="9.140625" style="155"/>
    <col min="11007" max="11007" width="93.140625" style="155" customWidth="1"/>
    <col min="11008" max="11008" width="17.85546875" style="155" customWidth="1"/>
    <col min="11009" max="11009" width="16.42578125" style="155" customWidth="1"/>
    <col min="11010" max="11010" width="19.7109375" style="155" customWidth="1"/>
    <col min="11011" max="11011" width="16.85546875" style="155" customWidth="1"/>
    <col min="11012" max="11012" width="17.42578125" style="155" customWidth="1"/>
    <col min="11013" max="11013" width="16.28515625" style="155" customWidth="1"/>
    <col min="11014" max="11014" width="20" style="155" customWidth="1"/>
    <col min="11015" max="11015" width="18.42578125" style="155" customWidth="1"/>
    <col min="11016" max="11016" width="20.7109375" style="155" customWidth="1"/>
    <col min="11017" max="11017" width="9.140625" style="155"/>
    <col min="11018" max="11018" width="9.7109375" style="155" bestFit="1" customWidth="1"/>
    <col min="11019" max="11262" width="9.140625" style="155"/>
    <col min="11263" max="11263" width="93.140625" style="155" customWidth="1"/>
    <col min="11264" max="11264" width="17.85546875" style="155" customWidth="1"/>
    <col min="11265" max="11265" width="16.42578125" style="155" customWidth="1"/>
    <col min="11266" max="11266" width="19.7109375" style="155" customWidth="1"/>
    <col min="11267" max="11267" width="16.85546875" style="155" customWidth="1"/>
    <col min="11268" max="11268" width="17.42578125" style="155" customWidth="1"/>
    <col min="11269" max="11269" width="16.28515625" style="155" customWidth="1"/>
    <col min="11270" max="11270" width="20" style="155" customWidth="1"/>
    <col min="11271" max="11271" width="18.42578125" style="155" customWidth="1"/>
    <col min="11272" max="11272" width="20.7109375" style="155" customWidth="1"/>
    <col min="11273" max="11273" width="9.140625" style="155"/>
    <col min="11274" max="11274" width="9.7109375" style="155" bestFit="1" customWidth="1"/>
    <col min="11275" max="11518" width="9.140625" style="155"/>
    <col min="11519" max="11519" width="93.140625" style="155" customWidth="1"/>
    <col min="11520" max="11520" width="17.85546875" style="155" customWidth="1"/>
    <col min="11521" max="11521" width="16.42578125" style="155" customWidth="1"/>
    <col min="11522" max="11522" width="19.7109375" style="155" customWidth="1"/>
    <col min="11523" max="11523" width="16.85546875" style="155" customWidth="1"/>
    <col min="11524" max="11524" width="17.42578125" style="155" customWidth="1"/>
    <col min="11525" max="11525" width="16.28515625" style="155" customWidth="1"/>
    <col min="11526" max="11526" width="20" style="155" customWidth="1"/>
    <col min="11527" max="11527" width="18.42578125" style="155" customWidth="1"/>
    <col min="11528" max="11528" width="20.7109375" style="155" customWidth="1"/>
    <col min="11529" max="11529" width="9.140625" style="155"/>
    <col min="11530" max="11530" width="9.7109375" style="155" bestFit="1" customWidth="1"/>
    <col min="11531" max="11774" width="9.140625" style="155"/>
    <col min="11775" max="11775" width="93.140625" style="155" customWidth="1"/>
    <col min="11776" max="11776" width="17.85546875" style="155" customWidth="1"/>
    <col min="11777" max="11777" width="16.42578125" style="155" customWidth="1"/>
    <col min="11778" max="11778" width="19.7109375" style="155" customWidth="1"/>
    <col min="11779" max="11779" width="16.85546875" style="155" customWidth="1"/>
    <col min="11780" max="11780" width="17.42578125" style="155" customWidth="1"/>
    <col min="11781" max="11781" width="16.28515625" style="155" customWidth="1"/>
    <col min="11782" max="11782" width="20" style="155" customWidth="1"/>
    <col min="11783" max="11783" width="18.42578125" style="155" customWidth="1"/>
    <col min="11784" max="11784" width="20.7109375" style="155" customWidth="1"/>
    <col min="11785" max="11785" width="9.140625" style="155"/>
    <col min="11786" max="11786" width="9.7109375" style="155" bestFit="1" customWidth="1"/>
    <col min="11787" max="12030" width="9.140625" style="155"/>
    <col min="12031" max="12031" width="93.140625" style="155" customWidth="1"/>
    <col min="12032" max="12032" width="17.85546875" style="155" customWidth="1"/>
    <col min="12033" max="12033" width="16.42578125" style="155" customWidth="1"/>
    <col min="12034" max="12034" width="19.7109375" style="155" customWidth="1"/>
    <col min="12035" max="12035" width="16.85546875" style="155" customWidth="1"/>
    <col min="12036" max="12036" width="17.42578125" style="155" customWidth="1"/>
    <col min="12037" max="12037" width="16.28515625" style="155" customWidth="1"/>
    <col min="12038" max="12038" width="20" style="155" customWidth="1"/>
    <col min="12039" max="12039" width="18.42578125" style="155" customWidth="1"/>
    <col min="12040" max="12040" width="20.7109375" style="155" customWidth="1"/>
    <col min="12041" max="12041" width="9.140625" style="155"/>
    <col min="12042" max="12042" width="9.7109375" style="155" bestFit="1" customWidth="1"/>
    <col min="12043" max="12286" width="9.140625" style="155"/>
    <col min="12287" max="12287" width="93.140625" style="155" customWidth="1"/>
    <col min="12288" max="12288" width="17.85546875" style="155" customWidth="1"/>
    <col min="12289" max="12289" width="16.42578125" style="155" customWidth="1"/>
    <col min="12290" max="12290" width="19.7109375" style="155" customWidth="1"/>
    <col min="12291" max="12291" width="16.85546875" style="155" customWidth="1"/>
    <col min="12292" max="12292" width="17.42578125" style="155" customWidth="1"/>
    <col min="12293" max="12293" width="16.28515625" style="155" customWidth="1"/>
    <col min="12294" max="12294" width="20" style="155" customWidth="1"/>
    <col min="12295" max="12295" width="18.42578125" style="155" customWidth="1"/>
    <col min="12296" max="12296" width="20.7109375" style="155" customWidth="1"/>
    <col min="12297" max="12297" width="9.140625" style="155"/>
    <col min="12298" max="12298" width="9.7109375" style="155" bestFit="1" customWidth="1"/>
    <col min="12299" max="12542" width="9.140625" style="155"/>
    <col min="12543" max="12543" width="93.140625" style="155" customWidth="1"/>
    <col min="12544" max="12544" width="17.85546875" style="155" customWidth="1"/>
    <col min="12545" max="12545" width="16.42578125" style="155" customWidth="1"/>
    <col min="12546" max="12546" width="19.7109375" style="155" customWidth="1"/>
    <col min="12547" max="12547" width="16.85546875" style="155" customWidth="1"/>
    <col min="12548" max="12548" width="17.42578125" style="155" customWidth="1"/>
    <col min="12549" max="12549" width="16.28515625" style="155" customWidth="1"/>
    <col min="12550" max="12550" width="20" style="155" customWidth="1"/>
    <col min="12551" max="12551" width="18.42578125" style="155" customWidth="1"/>
    <col min="12552" max="12552" width="20.7109375" style="155" customWidth="1"/>
    <col min="12553" max="12553" width="9.140625" style="155"/>
    <col min="12554" max="12554" width="9.7109375" style="155" bestFit="1" customWidth="1"/>
    <col min="12555" max="12798" width="9.140625" style="155"/>
    <col min="12799" max="12799" width="93.140625" style="155" customWidth="1"/>
    <col min="12800" max="12800" width="17.85546875" style="155" customWidth="1"/>
    <col min="12801" max="12801" width="16.42578125" style="155" customWidth="1"/>
    <col min="12802" max="12802" width="19.7109375" style="155" customWidth="1"/>
    <col min="12803" max="12803" width="16.85546875" style="155" customWidth="1"/>
    <col min="12804" max="12804" width="17.42578125" style="155" customWidth="1"/>
    <col min="12805" max="12805" width="16.28515625" style="155" customWidth="1"/>
    <col min="12806" max="12806" width="20" style="155" customWidth="1"/>
    <col min="12807" max="12807" width="18.42578125" style="155" customWidth="1"/>
    <col min="12808" max="12808" width="20.7109375" style="155" customWidth="1"/>
    <col min="12809" max="12809" width="9.140625" style="155"/>
    <col min="12810" max="12810" width="9.7109375" style="155" bestFit="1" customWidth="1"/>
    <col min="12811" max="13054" width="9.140625" style="155"/>
    <col min="13055" max="13055" width="93.140625" style="155" customWidth="1"/>
    <col min="13056" max="13056" width="17.85546875" style="155" customWidth="1"/>
    <col min="13057" max="13057" width="16.42578125" style="155" customWidth="1"/>
    <col min="13058" max="13058" width="19.7109375" style="155" customWidth="1"/>
    <col min="13059" max="13059" width="16.85546875" style="155" customWidth="1"/>
    <col min="13060" max="13060" width="17.42578125" style="155" customWidth="1"/>
    <col min="13061" max="13061" width="16.28515625" style="155" customWidth="1"/>
    <col min="13062" max="13062" width="20" style="155" customWidth="1"/>
    <col min="13063" max="13063" width="18.42578125" style="155" customWidth="1"/>
    <col min="13064" max="13064" width="20.7109375" style="155" customWidth="1"/>
    <col min="13065" max="13065" width="9.140625" style="155"/>
    <col min="13066" max="13066" width="9.7109375" style="155" bestFit="1" customWidth="1"/>
    <col min="13067" max="13310" width="9.140625" style="155"/>
    <col min="13311" max="13311" width="93.140625" style="155" customWidth="1"/>
    <col min="13312" max="13312" width="17.85546875" style="155" customWidth="1"/>
    <col min="13313" max="13313" width="16.42578125" style="155" customWidth="1"/>
    <col min="13314" max="13314" width="19.7109375" style="155" customWidth="1"/>
    <col min="13315" max="13315" width="16.85546875" style="155" customWidth="1"/>
    <col min="13316" max="13316" width="17.42578125" style="155" customWidth="1"/>
    <col min="13317" max="13317" width="16.28515625" style="155" customWidth="1"/>
    <col min="13318" max="13318" width="20" style="155" customWidth="1"/>
    <col min="13319" max="13319" width="18.42578125" style="155" customWidth="1"/>
    <col min="13320" max="13320" width="20.7109375" style="155" customWidth="1"/>
    <col min="13321" max="13321" width="9.140625" style="155"/>
    <col min="13322" max="13322" width="9.7109375" style="155" bestFit="1" customWidth="1"/>
    <col min="13323" max="13566" width="9.140625" style="155"/>
    <col min="13567" max="13567" width="93.140625" style="155" customWidth="1"/>
    <col min="13568" max="13568" width="17.85546875" style="155" customWidth="1"/>
    <col min="13569" max="13569" width="16.42578125" style="155" customWidth="1"/>
    <col min="13570" max="13570" width="19.7109375" style="155" customWidth="1"/>
    <col min="13571" max="13571" width="16.85546875" style="155" customWidth="1"/>
    <col min="13572" max="13572" width="17.42578125" style="155" customWidth="1"/>
    <col min="13573" max="13573" width="16.28515625" style="155" customWidth="1"/>
    <col min="13574" max="13574" width="20" style="155" customWidth="1"/>
    <col min="13575" max="13575" width="18.42578125" style="155" customWidth="1"/>
    <col min="13576" max="13576" width="20.7109375" style="155" customWidth="1"/>
    <col min="13577" max="13577" width="9.140625" style="155"/>
    <col min="13578" max="13578" width="9.7109375" style="155" bestFit="1" customWidth="1"/>
    <col min="13579" max="13822" width="9.140625" style="155"/>
    <col min="13823" max="13823" width="93.140625" style="155" customWidth="1"/>
    <col min="13824" max="13824" width="17.85546875" style="155" customWidth="1"/>
    <col min="13825" max="13825" width="16.42578125" style="155" customWidth="1"/>
    <col min="13826" max="13826" width="19.7109375" style="155" customWidth="1"/>
    <col min="13827" max="13827" width="16.85546875" style="155" customWidth="1"/>
    <col min="13828" max="13828" width="17.42578125" style="155" customWidth="1"/>
    <col min="13829" max="13829" width="16.28515625" style="155" customWidth="1"/>
    <col min="13830" max="13830" width="20" style="155" customWidth="1"/>
    <col min="13831" max="13831" width="18.42578125" style="155" customWidth="1"/>
    <col min="13832" max="13832" width="20.7109375" style="155" customWidth="1"/>
    <col min="13833" max="13833" width="9.140625" style="155"/>
    <col min="13834" max="13834" width="9.7109375" style="155" bestFit="1" customWidth="1"/>
    <col min="13835" max="14078" width="9.140625" style="155"/>
    <col min="14079" max="14079" width="93.140625" style="155" customWidth="1"/>
    <col min="14080" max="14080" width="17.85546875" style="155" customWidth="1"/>
    <col min="14081" max="14081" width="16.42578125" style="155" customWidth="1"/>
    <col min="14082" max="14082" width="19.7109375" style="155" customWidth="1"/>
    <col min="14083" max="14083" width="16.85546875" style="155" customWidth="1"/>
    <col min="14084" max="14084" width="17.42578125" style="155" customWidth="1"/>
    <col min="14085" max="14085" width="16.28515625" style="155" customWidth="1"/>
    <col min="14086" max="14086" width="20" style="155" customWidth="1"/>
    <col min="14087" max="14087" width="18.42578125" style="155" customWidth="1"/>
    <col min="14088" max="14088" width="20.7109375" style="155" customWidth="1"/>
    <col min="14089" max="14089" width="9.140625" style="155"/>
    <col min="14090" max="14090" width="9.7109375" style="155" bestFit="1" customWidth="1"/>
    <col min="14091" max="14334" width="9.140625" style="155"/>
    <col min="14335" max="14335" width="93.140625" style="155" customWidth="1"/>
    <col min="14336" max="14336" width="17.85546875" style="155" customWidth="1"/>
    <col min="14337" max="14337" width="16.42578125" style="155" customWidth="1"/>
    <col min="14338" max="14338" width="19.7109375" style="155" customWidth="1"/>
    <col min="14339" max="14339" width="16.85546875" style="155" customWidth="1"/>
    <col min="14340" max="14340" width="17.42578125" style="155" customWidth="1"/>
    <col min="14341" max="14341" width="16.28515625" style="155" customWidth="1"/>
    <col min="14342" max="14342" width="20" style="155" customWidth="1"/>
    <col min="14343" max="14343" width="18.42578125" style="155" customWidth="1"/>
    <col min="14344" max="14344" width="20.7109375" style="155" customWidth="1"/>
    <col min="14345" max="14345" width="9.140625" style="155"/>
    <col min="14346" max="14346" width="9.7109375" style="155" bestFit="1" customWidth="1"/>
    <col min="14347" max="14590" width="9.140625" style="155"/>
    <col min="14591" max="14591" width="93.140625" style="155" customWidth="1"/>
    <col min="14592" max="14592" width="17.85546875" style="155" customWidth="1"/>
    <col min="14593" max="14593" width="16.42578125" style="155" customWidth="1"/>
    <col min="14594" max="14594" width="19.7109375" style="155" customWidth="1"/>
    <col min="14595" max="14595" width="16.85546875" style="155" customWidth="1"/>
    <col min="14596" max="14596" width="17.42578125" style="155" customWidth="1"/>
    <col min="14597" max="14597" width="16.28515625" style="155" customWidth="1"/>
    <col min="14598" max="14598" width="20" style="155" customWidth="1"/>
    <col min="14599" max="14599" width="18.42578125" style="155" customWidth="1"/>
    <col min="14600" max="14600" width="20.7109375" style="155" customWidth="1"/>
    <col min="14601" max="14601" width="9.140625" style="155"/>
    <col min="14602" max="14602" width="9.7109375" style="155" bestFit="1" customWidth="1"/>
    <col min="14603" max="14846" width="9.140625" style="155"/>
    <col min="14847" max="14847" width="93.140625" style="155" customWidth="1"/>
    <col min="14848" max="14848" width="17.85546875" style="155" customWidth="1"/>
    <col min="14849" max="14849" width="16.42578125" style="155" customWidth="1"/>
    <col min="14850" max="14850" width="19.7109375" style="155" customWidth="1"/>
    <col min="14851" max="14851" width="16.85546875" style="155" customWidth="1"/>
    <col min="14852" max="14852" width="17.42578125" style="155" customWidth="1"/>
    <col min="14853" max="14853" width="16.28515625" style="155" customWidth="1"/>
    <col min="14854" max="14854" width="20" style="155" customWidth="1"/>
    <col min="14855" max="14855" width="18.42578125" style="155" customWidth="1"/>
    <col min="14856" max="14856" width="20.7109375" style="155" customWidth="1"/>
    <col min="14857" max="14857" width="9.140625" style="155"/>
    <col min="14858" max="14858" width="9.7109375" style="155" bestFit="1" customWidth="1"/>
    <col min="14859" max="15102" width="9.140625" style="155"/>
    <col min="15103" max="15103" width="93.140625" style="155" customWidth="1"/>
    <col min="15104" max="15104" width="17.85546875" style="155" customWidth="1"/>
    <col min="15105" max="15105" width="16.42578125" style="155" customWidth="1"/>
    <col min="15106" max="15106" width="19.7109375" style="155" customWidth="1"/>
    <col min="15107" max="15107" width="16.85546875" style="155" customWidth="1"/>
    <col min="15108" max="15108" width="17.42578125" style="155" customWidth="1"/>
    <col min="15109" max="15109" width="16.28515625" style="155" customWidth="1"/>
    <col min="15110" max="15110" width="20" style="155" customWidth="1"/>
    <col min="15111" max="15111" width="18.42578125" style="155" customWidth="1"/>
    <col min="15112" max="15112" width="20.7109375" style="155" customWidth="1"/>
    <col min="15113" max="15113" width="9.140625" style="155"/>
    <col min="15114" max="15114" width="9.7109375" style="155" bestFit="1" customWidth="1"/>
    <col min="15115" max="15358" width="9.140625" style="155"/>
    <col min="15359" max="15359" width="93.140625" style="155" customWidth="1"/>
    <col min="15360" max="15360" width="17.85546875" style="155" customWidth="1"/>
    <col min="15361" max="15361" width="16.42578125" style="155" customWidth="1"/>
    <col min="15362" max="15362" width="19.7109375" style="155" customWidth="1"/>
    <col min="15363" max="15363" width="16.85546875" style="155" customWidth="1"/>
    <col min="15364" max="15364" width="17.42578125" style="155" customWidth="1"/>
    <col min="15365" max="15365" width="16.28515625" style="155" customWidth="1"/>
    <col min="15366" max="15366" width="20" style="155" customWidth="1"/>
    <col min="15367" max="15367" width="18.42578125" style="155" customWidth="1"/>
    <col min="15368" max="15368" width="20.7109375" style="155" customWidth="1"/>
    <col min="15369" max="15369" width="9.140625" style="155"/>
    <col min="15370" max="15370" width="9.7109375" style="155" bestFit="1" customWidth="1"/>
    <col min="15371" max="15614" width="9.140625" style="155"/>
    <col min="15615" max="15615" width="93.140625" style="155" customWidth="1"/>
    <col min="15616" max="15616" width="17.85546875" style="155" customWidth="1"/>
    <col min="15617" max="15617" width="16.42578125" style="155" customWidth="1"/>
    <col min="15618" max="15618" width="19.7109375" style="155" customWidth="1"/>
    <col min="15619" max="15619" width="16.85546875" style="155" customWidth="1"/>
    <col min="15620" max="15620" width="17.42578125" style="155" customWidth="1"/>
    <col min="15621" max="15621" width="16.28515625" style="155" customWidth="1"/>
    <col min="15622" max="15622" width="20" style="155" customWidth="1"/>
    <col min="15623" max="15623" width="18.42578125" style="155" customWidth="1"/>
    <col min="15624" max="15624" width="20.7109375" style="155" customWidth="1"/>
    <col min="15625" max="15625" width="9.140625" style="155"/>
    <col min="15626" max="15626" width="9.7109375" style="155" bestFit="1" customWidth="1"/>
    <col min="15627" max="15870" width="9.140625" style="155"/>
    <col min="15871" max="15871" width="93.140625" style="155" customWidth="1"/>
    <col min="15872" max="15872" width="17.85546875" style="155" customWidth="1"/>
    <col min="15873" max="15873" width="16.42578125" style="155" customWidth="1"/>
    <col min="15874" max="15874" width="19.7109375" style="155" customWidth="1"/>
    <col min="15875" max="15875" width="16.85546875" style="155" customWidth="1"/>
    <col min="15876" max="15876" width="17.42578125" style="155" customWidth="1"/>
    <col min="15877" max="15877" width="16.28515625" style="155" customWidth="1"/>
    <col min="15878" max="15878" width="20" style="155" customWidth="1"/>
    <col min="15879" max="15879" width="18.42578125" style="155" customWidth="1"/>
    <col min="15880" max="15880" width="20.7109375" style="155" customWidth="1"/>
    <col min="15881" max="15881" width="9.140625" style="155"/>
    <col min="15882" max="15882" width="9.7109375" style="155" bestFit="1" customWidth="1"/>
    <col min="15883" max="16126" width="9.140625" style="155"/>
    <col min="16127" max="16127" width="93.140625" style="155" customWidth="1"/>
    <col min="16128" max="16128" width="17.85546875" style="155" customWidth="1"/>
    <col min="16129" max="16129" width="16.42578125" style="155" customWidth="1"/>
    <col min="16130" max="16130" width="19.7109375" style="155" customWidth="1"/>
    <col min="16131" max="16131" width="16.85546875" style="155" customWidth="1"/>
    <col min="16132" max="16132" width="17.42578125" style="155" customWidth="1"/>
    <col min="16133" max="16133" width="16.28515625" style="155" customWidth="1"/>
    <col min="16134" max="16134" width="20" style="155" customWidth="1"/>
    <col min="16135" max="16135" width="18.42578125" style="155" customWidth="1"/>
    <col min="16136" max="16136" width="20.7109375" style="155" customWidth="1"/>
    <col min="16137" max="16137" width="9.140625" style="155"/>
    <col min="16138" max="16138" width="9.7109375" style="155" bestFit="1" customWidth="1"/>
    <col min="16139" max="16384" width="9.140625" style="155"/>
  </cols>
  <sheetData>
    <row r="1" spans="1:9" x14ac:dyDescent="0.25">
      <c r="A1" s="152" t="s">
        <v>259</v>
      </c>
      <c r="B1" s="153"/>
      <c r="C1" s="153"/>
      <c r="D1" s="153"/>
      <c r="F1" s="153" t="s">
        <v>260</v>
      </c>
      <c r="H1" s="153"/>
      <c r="I1" s="153"/>
    </row>
    <row r="2" spans="1:9" x14ac:dyDescent="0.25">
      <c r="A2" s="152"/>
      <c r="B2" s="153"/>
      <c r="C2" s="153"/>
      <c r="D2" s="153"/>
      <c r="F2" s="153"/>
      <c r="H2" s="153"/>
      <c r="I2" s="153"/>
    </row>
    <row r="3" spans="1:9" x14ac:dyDescent="0.25">
      <c r="A3" s="155" t="s">
        <v>261</v>
      </c>
      <c r="B3" s="156"/>
      <c r="C3" s="156"/>
      <c r="D3" s="155"/>
      <c r="F3" s="155" t="s">
        <v>262</v>
      </c>
    </row>
    <row r="4" spans="1:9" x14ac:dyDescent="0.25">
      <c r="A4" s="153"/>
      <c r="B4" s="153" t="s">
        <v>263</v>
      </c>
      <c r="C4" s="153"/>
      <c r="D4" s="153"/>
      <c r="F4" s="153"/>
      <c r="H4" s="153"/>
      <c r="I4" s="153"/>
    </row>
    <row r="5" spans="1:9" x14ac:dyDescent="0.25">
      <c r="A5" s="157" t="s">
        <v>264</v>
      </c>
      <c r="B5" s="156"/>
      <c r="C5" s="156"/>
      <c r="D5" s="155"/>
      <c r="F5" s="155" t="s">
        <v>265</v>
      </c>
      <c r="G5" s="155" t="s">
        <v>266</v>
      </c>
    </row>
    <row r="6" spans="1:9" x14ac:dyDescent="0.25">
      <c r="A6" s="153"/>
      <c r="B6" s="153"/>
      <c r="C6" s="153"/>
      <c r="D6" s="153"/>
      <c r="E6" s="158"/>
      <c r="G6" s="153"/>
      <c r="H6" s="153"/>
    </row>
    <row r="7" spans="1:9" ht="31.5" x14ac:dyDescent="0.25">
      <c r="A7" s="159" t="s">
        <v>267</v>
      </c>
      <c r="B7" s="160"/>
      <c r="C7" s="160"/>
      <c r="D7" s="153"/>
      <c r="E7" s="161"/>
      <c r="F7" s="162"/>
      <c r="G7" s="162"/>
      <c r="H7" s="153"/>
    </row>
    <row r="9" spans="1:9" x14ac:dyDescent="0.25">
      <c r="G9" s="268" t="s">
        <v>268</v>
      </c>
      <c r="H9" s="268"/>
      <c r="I9" s="164"/>
    </row>
    <row r="10" spans="1:9" x14ac:dyDescent="0.25">
      <c r="G10" s="268" t="s">
        <v>269</v>
      </c>
      <c r="H10" s="268"/>
      <c r="I10" s="164" t="s">
        <v>270</v>
      </c>
    </row>
    <row r="11" spans="1:9" x14ac:dyDescent="0.25">
      <c r="G11" s="268" t="s">
        <v>271</v>
      </c>
      <c r="H11" s="268"/>
      <c r="I11" s="164"/>
    </row>
    <row r="12" spans="1:9" x14ac:dyDescent="0.25">
      <c r="G12" s="268" t="s">
        <v>272</v>
      </c>
      <c r="H12" s="268"/>
      <c r="I12" s="164"/>
    </row>
    <row r="13" spans="1:9" x14ac:dyDescent="0.25">
      <c r="G13" s="254" t="s">
        <v>273</v>
      </c>
      <c r="H13" s="254"/>
      <c r="I13" s="254"/>
    </row>
    <row r="16" spans="1:9" x14ac:dyDescent="0.25">
      <c r="A16" s="165" t="s">
        <v>274</v>
      </c>
      <c r="B16" s="257">
        <v>2025</v>
      </c>
      <c r="C16" s="257"/>
      <c r="D16" s="257"/>
      <c r="E16" s="257"/>
      <c r="F16" s="258"/>
      <c r="G16" s="265" t="s">
        <v>275</v>
      </c>
      <c r="H16" s="266"/>
      <c r="I16" s="267"/>
    </row>
    <row r="17" spans="1:9" ht="48" customHeight="1" x14ac:dyDescent="0.25">
      <c r="A17" s="166" t="s">
        <v>276</v>
      </c>
      <c r="B17" s="257" t="str">
        <f>[2]Титул!C7</f>
        <v>Комунальне некомерційне підприємство "Жидачівська міська лікарня" Жидачівської міської ради Львівської області</v>
      </c>
      <c r="C17" s="257"/>
      <c r="D17" s="257"/>
      <c r="E17" s="257"/>
      <c r="F17" s="258"/>
      <c r="G17" s="259" t="s">
        <v>277</v>
      </c>
      <c r="H17" s="260"/>
      <c r="I17" s="167" t="str">
        <f>[2]Титул!C9</f>
        <v>01996208</v>
      </c>
    </row>
    <row r="18" spans="1:9" x14ac:dyDescent="0.25">
      <c r="A18" s="166" t="s">
        <v>278</v>
      </c>
      <c r="B18" s="264" t="str">
        <f>[2]Титул!C11</f>
        <v>комунальне підприємство</v>
      </c>
      <c r="C18" s="257"/>
      <c r="D18" s="257"/>
      <c r="E18" s="257"/>
      <c r="F18" s="258"/>
      <c r="G18" s="259" t="s">
        <v>279</v>
      </c>
      <c r="H18" s="260"/>
      <c r="I18" s="167" t="str">
        <f>[2]Титул!C13</f>
        <v>150</v>
      </c>
    </row>
    <row r="19" spans="1:9" x14ac:dyDescent="0.25">
      <c r="A19" s="166" t="s">
        <v>280</v>
      </c>
      <c r="B19" s="257" t="str">
        <f>[2]Титул!C17</f>
        <v>Жидачівська міська територіальна громада</v>
      </c>
      <c r="C19" s="257"/>
      <c r="D19" s="257"/>
      <c r="E19" s="257"/>
      <c r="F19" s="258"/>
      <c r="G19" s="259" t="s">
        <v>281</v>
      </c>
      <c r="H19" s="260"/>
      <c r="I19" s="164">
        <f>[2]Титул!C19</f>
        <v>0</v>
      </c>
    </row>
    <row r="20" spans="1:9" x14ac:dyDescent="0.25">
      <c r="A20" s="166" t="s">
        <v>391</v>
      </c>
      <c r="B20" s="257" t="str">
        <f>[2]Титул!C21</f>
        <v>Жидачівська міська рада</v>
      </c>
      <c r="C20" s="257"/>
      <c r="D20" s="257"/>
      <c r="E20" s="257"/>
      <c r="F20" s="258"/>
      <c r="G20" s="259" t="s">
        <v>282</v>
      </c>
      <c r="H20" s="260"/>
      <c r="I20" s="164">
        <f>[2]Титул!C23</f>
        <v>0</v>
      </c>
    </row>
    <row r="21" spans="1:9" x14ac:dyDescent="0.25">
      <c r="A21" s="166" t="s">
        <v>283</v>
      </c>
      <c r="B21" s="257" t="str">
        <f>[2]Титул!C25</f>
        <v>Лікувально-профілактичний заклад</v>
      </c>
      <c r="C21" s="257"/>
      <c r="D21" s="257"/>
      <c r="E21" s="257"/>
      <c r="F21" s="258"/>
      <c r="G21" s="259" t="s">
        <v>284</v>
      </c>
      <c r="H21" s="260"/>
      <c r="I21" s="164" t="str">
        <f>[2]Титул!C27</f>
        <v>86.10.</v>
      </c>
    </row>
    <row r="22" spans="1:9" x14ac:dyDescent="0.25">
      <c r="A22" s="166" t="s">
        <v>285</v>
      </c>
      <c r="B22" s="257" t="s">
        <v>286</v>
      </c>
      <c r="C22" s="257"/>
      <c r="D22" s="257"/>
      <c r="E22" s="257"/>
      <c r="F22" s="258"/>
      <c r="G22" s="168"/>
      <c r="H22" s="169"/>
      <c r="I22" s="170"/>
    </row>
    <row r="23" spans="1:9" x14ac:dyDescent="0.25">
      <c r="A23" s="166" t="s">
        <v>287</v>
      </c>
      <c r="B23" s="257" t="str">
        <f>[2]Титул!C29</f>
        <v>комунальна</v>
      </c>
      <c r="C23" s="257"/>
      <c r="D23" s="257"/>
      <c r="E23" s="257"/>
      <c r="F23" s="258"/>
      <c r="G23" s="171"/>
      <c r="H23" s="156"/>
      <c r="I23" s="172"/>
    </row>
    <row r="24" spans="1:9" ht="34.5" customHeight="1" x14ac:dyDescent="0.25">
      <c r="A24" s="173" t="s">
        <v>288</v>
      </c>
      <c r="B24" s="261">
        <v>274</v>
      </c>
      <c r="C24" s="261"/>
      <c r="D24" s="261"/>
      <c r="E24" s="261"/>
      <c r="F24" s="262"/>
      <c r="G24" s="263" t="s">
        <v>289</v>
      </c>
      <c r="H24" s="258"/>
      <c r="I24" s="174"/>
    </row>
    <row r="25" spans="1:9" ht="31.15" customHeight="1" x14ac:dyDescent="0.25">
      <c r="A25" s="166" t="s">
        <v>290</v>
      </c>
      <c r="B25" s="257" t="str">
        <f>[2]Титул!C31</f>
        <v>Україна, Львівська область, Стрийський район,  м.Жидачів, вул. Ярослава Мудрого, 29, 81700</v>
      </c>
      <c r="C25" s="257"/>
      <c r="D25" s="257"/>
      <c r="E25" s="257"/>
      <c r="F25" s="257"/>
      <c r="G25" s="263" t="s">
        <v>291</v>
      </c>
      <c r="H25" s="258"/>
      <c r="I25" s="175"/>
    </row>
    <row r="26" spans="1:9" x14ac:dyDescent="0.25">
      <c r="A26" s="166" t="s">
        <v>292</v>
      </c>
      <c r="B26" s="264" t="str">
        <f>[2]Титул!C43</f>
        <v>+380979760887</v>
      </c>
      <c r="C26" s="257"/>
      <c r="D26" s="257"/>
      <c r="E26" s="257"/>
      <c r="F26" s="257"/>
      <c r="G26" s="176"/>
      <c r="H26" s="176"/>
      <c r="I26" s="177"/>
    </row>
    <row r="27" spans="1:9" x14ac:dyDescent="0.25">
      <c r="A27" s="166" t="s">
        <v>293</v>
      </c>
      <c r="B27" s="257" t="str">
        <f>[2]Титул!C37</f>
        <v>Яремцьо Л.В.</v>
      </c>
      <c r="C27" s="257"/>
      <c r="D27" s="257"/>
      <c r="E27" s="257"/>
      <c r="F27" s="257"/>
      <c r="G27" s="178"/>
      <c r="H27" s="178"/>
      <c r="I27" s="179"/>
    </row>
    <row r="29" spans="1:9" x14ac:dyDescent="0.25">
      <c r="A29" s="253" t="s">
        <v>294</v>
      </c>
      <c r="B29" s="253"/>
      <c r="C29" s="253"/>
      <c r="D29" s="253"/>
      <c r="E29" s="253"/>
      <c r="F29" s="253"/>
      <c r="G29" s="253"/>
      <c r="H29" s="253"/>
      <c r="I29" s="253"/>
    </row>
    <row r="30" spans="1:9" x14ac:dyDescent="0.25">
      <c r="A30" s="180"/>
      <c r="B30" s="181"/>
      <c r="C30" s="180"/>
      <c r="D30" s="180"/>
      <c r="E30" s="182"/>
      <c r="F30" s="180"/>
      <c r="G30" s="180"/>
      <c r="H30" s="180"/>
      <c r="I30" s="180"/>
    </row>
    <row r="31" spans="1:9" ht="33.6" customHeight="1" x14ac:dyDescent="0.25">
      <c r="A31" s="254" t="s">
        <v>152</v>
      </c>
      <c r="B31" s="255" t="s">
        <v>295</v>
      </c>
      <c r="C31" s="255" t="s">
        <v>385</v>
      </c>
      <c r="D31" s="255" t="s">
        <v>386</v>
      </c>
      <c r="E31" s="256" t="s">
        <v>296</v>
      </c>
      <c r="F31" s="255" t="s">
        <v>297</v>
      </c>
      <c r="G31" s="255"/>
      <c r="H31" s="255"/>
      <c r="I31" s="255"/>
    </row>
    <row r="32" spans="1:9" ht="55.9" customHeight="1" x14ac:dyDescent="0.25">
      <c r="A32" s="254"/>
      <c r="B32" s="255"/>
      <c r="C32" s="255"/>
      <c r="D32" s="255"/>
      <c r="E32" s="256"/>
      <c r="F32" s="183" t="s">
        <v>298</v>
      </c>
      <c r="G32" s="183" t="s">
        <v>299</v>
      </c>
      <c r="H32" s="183" t="s">
        <v>300</v>
      </c>
      <c r="I32" s="183" t="s">
        <v>301</v>
      </c>
    </row>
    <row r="33" spans="1:9" x14ac:dyDescent="0.25">
      <c r="A33" s="164">
        <v>1</v>
      </c>
      <c r="B33" s="174">
        <v>2</v>
      </c>
      <c r="C33" s="174">
        <v>3</v>
      </c>
      <c r="D33" s="174">
        <v>4</v>
      </c>
      <c r="E33" s="184">
        <v>5</v>
      </c>
      <c r="F33" s="174">
        <v>6</v>
      </c>
      <c r="G33" s="174">
        <v>7</v>
      </c>
      <c r="H33" s="174">
        <v>8</v>
      </c>
      <c r="I33" s="174">
        <v>9</v>
      </c>
    </row>
    <row r="34" spans="1:9" x14ac:dyDescent="0.25">
      <c r="A34" s="240" t="s">
        <v>302</v>
      </c>
      <c r="B34" s="241"/>
      <c r="C34" s="241"/>
      <c r="D34" s="241"/>
      <c r="E34" s="241"/>
      <c r="F34" s="241"/>
      <c r="G34" s="241"/>
      <c r="H34" s="241"/>
      <c r="I34" s="242"/>
    </row>
    <row r="35" spans="1:9" s="185" customFormat="1" x14ac:dyDescent="0.25">
      <c r="A35" s="240" t="s">
        <v>303</v>
      </c>
      <c r="B35" s="241"/>
      <c r="C35" s="241"/>
      <c r="D35" s="241"/>
      <c r="E35" s="241"/>
      <c r="F35" s="241"/>
      <c r="G35" s="241"/>
      <c r="H35" s="241"/>
      <c r="I35" s="242"/>
    </row>
    <row r="36" spans="1:9" ht="47.25" x14ac:dyDescent="0.25">
      <c r="A36" s="186" t="s">
        <v>304</v>
      </c>
      <c r="B36" s="187">
        <v>1010</v>
      </c>
      <c r="C36" s="188">
        <v>60038.9</v>
      </c>
      <c r="D36" s="188">
        <f>[3]Аркуш1!E36</f>
        <v>63013.684589999997</v>
      </c>
      <c r="E36" s="189">
        <f>F36+G36+H36+I36</f>
        <v>64052.38826</v>
      </c>
      <c r="F36" s="190">
        <f>SUM('Всього доходи'!C8:C30)/1000</f>
        <v>13275.933890000002</v>
      </c>
      <c r="G36" s="190">
        <f>SUM('Всього доходи'!D8:D30)/1000</f>
        <v>16523.134409999999</v>
      </c>
      <c r="H36" s="190">
        <f>SUM('Всього доходи'!E8:E30)/1000</f>
        <v>16523.134409999999</v>
      </c>
      <c r="I36" s="190">
        <f>SUM('Всього доходи'!F8:F30)/1000</f>
        <v>17730.185550000002</v>
      </c>
    </row>
    <row r="37" spans="1:9" ht="31.5" x14ac:dyDescent="0.25">
      <c r="A37" s="186" t="s">
        <v>73</v>
      </c>
      <c r="B37" s="187">
        <v>1020</v>
      </c>
      <c r="C37" s="188">
        <v>1653.85</v>
      </c>
      <c r="D37" s="188">
        <f>[3]Аркуш1!E37</f>
        <v>1686.6840000000002</v>
      </c>
      <c r="E37" s="189">
        <f>F37+G37+H37+I37</f>
        <v>1686.684</v>
      </c>
      <c r="F37" s="190">
        <f>'Всього доходи'!C32/1000</f>
        <v>394.553</v>
      </c>
      <c r="G37" s="190">
        <f>'Всього доходи'!D32/1000</f>
        <v>462.74</v>
      </c>
      <c r="H37" s="190">
        <f>'Всього доходи'!E32/1000</f>
        <v>481.005</v>
      </c>
      <c r="I37" s="190">
        <f>'Всього доходи'!F32/1000</f>
        <v>348.38600000000002</v>
      </c>
    </row>
    <row r="38" spans="1:9" x14ac:dyDescent="0.25">
      <c r="A38" s="186" t="s">
        <v>305</v>
      </c>
      <c r="B38" s="187">
        <v>1030</v>
      </c>
      <c r="C38" s="188">
        <f>SUM(C39:C43)</f>
        <v>9343.84</v>
      </c>
      <c r="D38" s="188">
        <f>SUM(D39:D43)</f>
        <v>8023.45</v>
      </c>
      <c r="E38" s="189">
        <f>F38+G38+H38+I38</f>
        <v>13924.270350000003</v>
      </c>
      <c r="F38" s="188">
        <f>SUM(F39:F43)</f>
        <v>7578.0758999999998</v>
      </c>
      <c r="G38" s="188">
        <f>SUM(G39:G43)</f>
        <v>2756.6828500000001</v>
      </c>
      <c r="H38" s="188">
        <f>SUM(H39:H43)</f>
        <v>739.22231999999997</v>
      </c>
      <c r="I38" s="188">
        <f>SUM(I39:I43)</f>
        <v>2850.28928</v>
      </c>
    </row>
    <row r="39" spans="1:9" ht="31.5" x14ac:dyDescent="0.25">
      <c r="A39" s="191" t="s">
        <v>77</v>
      </c>
      <c r="B39" s="187">
        <v>1032</v>
      </c>
      <c r="C39" s="188">
        <v>6248.85</v>
      </c>
      <c r="D39" s="188">
        <v>7850.45</v>
      </c>
      <c r="E39" s="189">
        <f t="shared" ref="E39:E50" si="0">F39+G39+H39+I39</f>
        <v>7850.45</v>
      </c>
      <c r="F39" s="190">
        <f>'[1]Всього доходи'!C35/1000</f>
        <v>2384.8258999999998</v>
      </c>
      <c r="G39" s="190">
        <f>'[1]Всього доходи'!D35/1000</f>
        <v>1962.6125</v>
      </c>
      <c r="H39" s="190">
        <f>'[1]Всього доходи'!E35/1000</f>
        <v>695.97231999999997</v>
      </c>
      <c r="I39" s="190">
        <f>'[1]Всього доходи'!F35/1000</f>
        <v>2807.03928</v>
      </c>
    </row>
    <row r="40" spans="1:9" s="185" customFormat="1" ht="47.25" x14ac:dyDescent="0.25">
      <c r="A40" s="191" t="s">
        <v>306</v>
      </c>
      <c r="B40" s="187">
        <v>1033</v>
      </c>
      <c r="C40" s="188"/>
      <c r="D40" s="188"/>
      <c r="E40" s="189">
        <f t="shared" si="0"/>
        <v>0</v>
      </c>
      <c r="F40" s="190"/>
      <c r="G40" s="190"/>
      <c r="H40" s="190"/>
      <c r="I40" s="190"/>
    </row>
    <row r="41" spans="1:9" s="185" customFormat="1" ht="78.75" x14ac:dyDescent="0.25">
      <c r="A41" s="191" t="s">
        <v>307</v>
      </c>
      <c r="B41" s="187">
        <v>1037</v>
      </c>
      <c r="C41" s="188">
        <v>301.89</v>
      </c>
      <c r="D41" s="188">
        <v>173</v>
      </c>
      <c r="E41" s="189">
        <f t="shared" ref="E41:E43" si="1">F41+G41+H41+I41</f>
        <v>173</v>
      </c>
      <c r="F41" s="190">
        <f>'[1]Всього доходи'!C36/1000</f>
        <v>43.25</v>
      </c>
      <c r="G41" s="190">
        <f>'[1]Всього доходи'!D36/1000</f>
        <v>43.25</v>
      </c>
      <c r="H41" s="190">
        <f>'[1]Всього доходи'!E36/1000</f>
        <v>43.25</v>
      </c>
      <c r="I41" s="190">
        <f>'[1]Всього доходи'!F36/1000</f>
        <v>43.25</v>
      </c>
    </row>
    <row r="42" spans="1:9" s="185" customFormat="1" ht="63" x14ac:dyDescent="0.25">
      <c r="A42" s="191" t="s">
        <v>308</v>
      </c>
      <c r="B42" s="187">
        <v>1038</v>
      </c>
      <c r="C42" s="188">
        <v>2793.1</v>
      </c>
      <c r="D42" s="188">
        <v>0</v>
      </c>
      <c r="E42" s="189">
        <f t="shared" si="1"/>
        <v>5900.82035</v>
      </c>
      <c r="F42" s="190">
        <f>'Інші доходи'!D10/1000</f>
        <v>5150</v>
      </c>
      <c r="G42" s="190">
        <f>'Інші доходи'!E10/1000</f>
        <v>750.82034999999996</v>
      </c>
      <c r="H42" s="190">
        <f>'Інші доходи'!F10/1000</f>
        <v>0</v>
      </c>
      <c r="I42" s="190">
        <f>'Інші доходи'!G10/1000</f>
        <v>0</v>
      </c>
    </row>
    <row r="43" spans="1:9" s="185" customFormat="1" ht="31.5" x14ac:dyDescent="0.25">
      <c r="A43" s="191" t="s">
        <v>309</v>
      </c>
      <c r="B43" s="187">
        <v>1039</v>
      </c>
      <c r="C43" s="188"/>
      <c r="D43" s="188"/>
      <c r="E43" s="189">
        <f t="shared" si="1"/>
        <v>0</v>
      </c>
      <c r="F43" s="190"/>
      <c r="G43" s="190"/>
      <c r="H43" s="190"/>
      <c r="I43" s="190"/>
    </row>
    <row r="44" spans="1:9" s="185" customFormat="1" x14ac:dyDescent="0.25">
      <c r="A44" s="186" t="s">
        <v>310</v>
      </c>
      <c r="B44" s="187">
        <v>1040</v>
      </c>
      <c r="C44" s="188">
        <f>SUM(C45:C47)</f>
        <v>1568.63</v>
      </c>
      <c r="D44" s="188">
        <f>SUM(D45:D47)</f>
        <v>154.63</v>
      </c>
      <c r="E44" s="189">
        <f t="shared" si="0"/>
        <v>271.93779999999998</v>
      </c>
      <c r="F44" s="188">
        <f>SUM(F45:F47)</f>
        <v>155.44421</v>
      </c>
      <c r="G44" s="188">
        <f t="shared" ref="G44:I44" si="2">SUM(G45:G47)</f>
        <v>38.5214</v>
      </c>
      <c r="H44" s="188">
        <f t="shared" si="2"/>
        <v>38.752879999999998</v>
      </c>
      <c r="I44" s="188">
        <f t="shared" si="2"/>
        <v>39.21931</v>
      </c>
    </row>
    <row r="45" spans="1:9" s="185" customFormat="1" ht="31.5" x14ac:dyDescent="0.25">
      <c r="A45" s="191" t="s">
        <v>85</v>
      </c>
      <c r="B45" s="164">
        <v>1041</v>
      </c>
      <c r="C45" s="188">
        <v>144.86000000000001</v>
      </c>
      <c r="D45" s="188">
        <v>154.63</v>
      </c>
      <c r="E45" s="189">
        <f t="shared" si="0"/>
        <v>154.63265000000001</v>
      </c>
      <c r="F45" s="190">
        <f>'[1]Всього доходи'!C40/1000</f>
        <v>38.139060000000001</v>
      </c>
      <c r="G45" s="190">
        <f>'[1]Всього доходи'!D40/1000</f>
        <v>38.5214</v>
      </c>
      <c r="H45" s="190">
        <f>'[1]Всього доходи'!E40/1000</f>
        <v>38.752879999999998</v>
      </c>
      <c r="I45" s="190">
        <f>'[1]Всього доходи'!F40/1000</f>
        <v>39.21931</v>
      </c>
    </row>
    <row r="46" spans="1:9" s="185" customFormat="1" ht="31.5" x14ac:dyDescent="0.25">
      <c r="A46" s="191" t="s">
        <v>87</v>
      </c>
      <c r="B46" s="187">
        <v>1042</v>
      </c>
      <c r="C46" s="188"/>
      <c r="D46" s="188"/>
      <c r="E46" s="189">
        <f t="shared" si="0"/>
        <v>0</v>
      </c>
      <c r="F46" s="190"/>
      <c r="G46" s="190"/>
      <c r="H46" s="190"/>
      <c r="I46" s="190"/>
    </row>
    <row r="47" spans="1:9" s="185" customFormat="1" ht="63" x14ac:dyDescent="0.25">
      <c r="A47" s="191" t="s">
        <v>311</v>
      </c>
      <c r="B47" s="164">
        <v>1043</v>
      </c>
      <c r="C47" s="188">
        <v>1423.77</v>
      </c>
      <c r="D47" s="188">
        <v>0</v>
      </c>
      <c r="E47" s="189">
        <f>SUM(F47:I47)</f>
        <v>117.30515</v>
      </c>
      <c r="F47" s="190">
        <f>'Всього доходи'!C42/1000</f>
        <v>117.30515</v>
      </c>
      <c r="G47" s="190"/>
      <c r="H47" s="190"/>
      <c r="I47" s="190"/>
    </row>
    <row r="48" spans="1:9" s="185" customFormat="1" x14ac:dyDescent="0.25">
      <c r="A48" s="186" t="s">
        <v>91</v>
      </c>
      <c r="B48" s="164">
        <v>1050</v>
      </c>
      <c r="C48" s="188">
        <f>C50+C49</f>
        <v>3108.16</v>
      </c>
      <c r="D48" s="188">
        <f>SUM(D49:D50)</f>
        <v>4001.71</v>
      </c>
      <c r="E48" s="189">
        <f t="shared" si="0"/>
        <v>4001.7086600000002</v>
      </c>
      <c r="F48" s="188">
        <f>F50+F49</f>
        <v>919.97</v>
      </c>
      <c r="G48" s="188">
        <f>G50+G49</f>
        <v>953.08100000000002</v>
      </c>
      <c r="H48" s="188">
        <f t="shared" ref="H48:I48" si="3">H50+H49</f>
        <v>1033.289</v>
      </c>
      <c r="I48" s="188">
        <f t="shared" si="3"/>
        <v>1095.3686600000001</v>
      </c>
    </row>
    <row r="49" spans="1:9" s="185" customFormat="1" ht="31.5" x14ac:dyDescent="0.25">
      <c r="A49" s="191" t="s">
        <v>93</v>
      </c>
      <c r="B49" s="164">
        <v>1051</v>
      </c>
      <c r="C49" s="188">
        <f>[2]Ін_доходи!D17/1000</f>
        <v>0</v>
      </c>
      <c r="D49" s="188"/>
      <c r="E49" s="189">
        <f t="shared" si="0"/>
        <v>0</v>
      </c>
      <c r="F49" s="190"/>
      <c r="G49" s="190"/>
      <c r="H49" s="190"/>
      <c r="I49" s="190"/>
    </row>
    <row r="50" spans="1:9" s="185" customFormat="1" x14ac:dyDescent="0.25">
      <c r="A50" s="191" t="s">
        <v>95</v>
      </c>
      <c r="B50" s="164">
        <v>1052</v>
      </c>
      <c r="C50" s="188">
        <v>3108.16</v>
      </c>
      <c r="D50" s="188">
        <v>4001.71</v>
      </c>
      <c r="E50" s="189">
        <f t="shared" si="0"/>
        <v>4001.7086600000002</v>
      </c>
      <c r="F50" s="190">
        <f>'[1]Всього доходи'!C46/1000</f>
        <v>919.97</v>
      </c>
      <c r="G50" s="190">
        <f>'[1]Всього доходи'!D46/1000</f>
        <v>953.08100000000002</v>
      </c>
      <c r="H50" s="190">
        <f>'[1]Всього доходи'!E46/1000</f>
        <v>1033.289</v>
      </c>
      <c r="I50" s="190">
        <f>'[1]Всього доходи'!F46/1000</f>
        <v>1095.3686600000001</v>
      </c>
    </row>
    <row r="51" spans="1:9" x14ac:dyDescent="0.25">
      <c r="A51" s="240" t="s">
        <v>312</v>
      </c>
      <c r="B51" s="241"/>
      <c r="C51" s="241"/>
      <c r="D51" s="241"/>
      <c r="E51" s="241"/>
      <c r="F51" s="241"/>
      <c r="G51" s="241"/>
      <c r="H51" s="241"/>
      <c r="I51" s="242"/>
    </row>
    <row r="52" spans="1:9" ht="29.25" customHeight="1" x14ac:dyDescent="0.25">
      <c r="A52" s="186" t="s">
        <v>313</v>
      </c>
      <c r="B52" s="164">
        <v>1060</v>
      </c>
      <c r="C52" s="188">
        <v>47963.12</v>
      </c>
      <c r="D52" s="188">
        <v>47369.02</v>
      </c>
      <c r="E52" s="189">
        <f>F52+G52+H52+I52</f>
        <v>47369.0242</v>
      </c>
      <c r="F52" s="190">
        <f>Видатки!C5/1000</f>
        <v>11834.285209999996</v>
      </c>
      <c r="G52" s="190">
        <f>Видатки!D5/1000</f>
        <v>11918.893809999998</v>
      </c>
      <c r="H52" s="190">
        <f>Видатки!E5/1000</f>
        <v>12143.232860000002</v>
      </c>
      <c r="I52" s="190">
        <f>Видатки!F5/1000</f>
        <v>11472.612319999998</v>
      </c>
    </row>
    <row r="53" spans="1:9" x14ac:dyDescent="0.25">
      <c r="A53" s="186" t="s">
        <v>314</v>
      </c>
      <c r="B53" s="164">
        <v>1070</v>
      </c>
      <c r="C53" s="188">
        <v>10214.1</v>
      </c>
      <c r="D53" s="188">
        <v>10191.08</v>
      </c>
      <c r="E53" s="189">
        <f>F53+G53+H53+I53</f>
        <v>10191.0808385</v>
      </c>
      <c r="F53" s="190">
        <f>Видатки!C36/1000</f>
        <v>2546.0683115500001</v>
      </c>
      <c r="G53" s="190">
        <f>Видатки!D36/1000</f>
        <v>2564.43003585</v>
      </c>
      <c r="H53" s="190">
        <f>Видатки!E36/1000</f>
        <v>2612.3794018999997</v>
      </c>
      <c r="I53" s="190">
        <f>Видатки!F36/1000</f>
        <v>2468.2030891999998</v>
      </c>
    </row>
    <row r="54" spans="1:9" x14ac:dyDescent="0.25">
      <c r="A54" s="186" t="s">
        <v>219</v>
      </c>
      <c r="B54" s="164">
        <v>1080</v>
      </c>
      <c r="C54" s="192">
        <v>373.87</v>
      </c>
      <c r="D54" s="188">
        <v>239.01</v>
      </c>
      <c r="E54" s="189">
        <f>F54+G54+H54+I54</f>
        <v>239.00800000000001</v>
      </c>
      <c r="F54" s="190">
        <f>Видатки!C107/1000</f>
        <v>59.752000000000002</v>
      </c>
      <c r="G54" s="190">
        <f>Видатки!D107/1000</f>
        <v>59.752000000000002</v>
      </c>
      <c r="H54" s="190">
        <f>Видатки!E107/1000</f>
        <v>59.752000000000002</v>
      </c>
      <c r="I54" s="190">
        <f>Видатки!F107/1000</f>
        <v>59.752000000000002</v>
      </c>
    </row>
    <row r="55" spans="1:9" x14ac:dyDescent="0.25">
      <c r="A55" s="186" t="s">
        <v>315</v>
      </c>
      <c r="B55" s="164">
        <v>1090</v>
      </c>
      <c r="C55" s="188">
        <v>4173.37</v>
      </c>
      <c r="D55" s="188">
        <v>2537.6999999999998</v>
      </c>
      <c r="E55" s="189">
        <f t="shared" ref="E55:E76" si="4">F55+G55+H55+I55</f>
        <v>4291.4861384249998</v>
      </c>
      <c r="F55" s="190">
        <f>Видатки!C44/1000</f>
        <v>1114.0936800000002</v>
      </c>
      <c r="G55" s="190">
        <f>Видатки!D44/1000</f>
        <v>1128.9521794750001</v>
      </c>
      <c r="H55" s="190">
        <f>Видатки!E44/1000</f>
        <v>1004.2201394750001</v>
      </c>
      <c r="I55" s="190">
        <f>Видатки!F44/1000</f>
        <v>1044.220139475</v>
      </c>
    </row>
    <row r="56" spans="1:9" x14ac:dyDescent="0.25">
      <c r="A56" s="186" t="s">
        <v>113</v>
      </c>
      <c r="B56" s="164">
        <v>1100</v>
      </c>
      <c r="C56" s="188">
        <v>1334.4</v>
      </c>
      <c r="D56" s="188">
        <v>556.72</v>
      </c>
      <c r="E56" s="189">
        <f t="shared" si="4"/>
        <v>1474.42401</v>
      </c>
      <c r="F56" s="190">
        <f>Видатки!C49/1000</f>
        <v>382.54858999999999</v>
      </c>
      <c r="G56" s="190">
        <f>Видатки!D49/1000</f>
        <v>395.47264000000001</v>
      </c>
      <c r="H56" s="190">
        <f>Видатки!E49/1000</f>
        <v>348.20139</v>
      </c>
      <c r="I56" s="190">
        <f>Видатки!F49/1000</f>
        <v>348.20139</v>
      </c>
    </row>
    <row r="57" spans="1:9" ht="31.5" x14ac:dyDescent="0.25">
      <c r="A57" s="186" t="s">
        <v>316</v>
      </c>
      <c r="B57" s="164">
        <v>1110</v>
      </c>
      <c r="C57" s="188">
        <f>[2]Всього_Видатки!C153/1000</f>
        <v>0</v>
      </c>
      <c r="D57" s="188">
        <v>0</v>
      </c>
      <c r="E57" s="189">
        <f t="shared" si="4"/>
        <v>0</v>
      </c>
      <c r="F57" s="190"/>
      <c r="G57" s="190"/>
      <c r="H57" s="190"/>
      <c r="I57" s="190"/>
    </row>
    <row r="58" spans="1:9" x14ac:dyDescent="0.25">
      <c r="A58" s="186" t="s">
        <v>223</v>
      </c>
      <c r="B58" s="164">
        <v>1120</v>
      </c>
      <c r="C58" s="188">
        <v>280.66000000000003</v>
      </c>
      <c r="D58" s="188">
        <v>240.05</v>
      </c>
      <c r="E58" s="189">
        <f t="shared" si="4"/>
        <v>254.52112999999997</v>
      </c>
      <c r="F58" s="190">
        <f>Видатки!C111/1000</f>
        <v>53.139129999999994</v>
      </c>
      <c r="G58" s="190">
        <f>Видатки!D111/1000</f>
        <v>57.573999999999998</v>
      </c>
      <c r="H58" s="190">
        <f>Видатки!E111/1000</f>
        <v>71.233999999999995</v>
      </c>
      <c r="I58" s="190">
        <f>Видатки!F111/1000</f>
        <v>72.573999999999998</v>
      </c>
    </row>
    <row r="59" spans="1:9" x14ac:dyDescent="0.25">
      <c r="A59" s="186" t="s">
        <v>317</v>
      </c>
      <c r="B59" s="164">
        <v>1130</v>
      </c>
      <c r="C59" s="188">
        <f>SUM(C60:C66)</f>
        <v>6248.85</v>
      </c>
      <c r="D59" s="188">
        <f>SUM(D60:D66)</f>
        <v>7850.45</v>
      </c>
      <c r="E59" s="189">
        <f t="shared" si="4"/>
        <v>7850.4500000000007</v>
      </c>
      <c r="F59" s="188">
        <f>SUM(F60:F66)</f>
        <v>2384.8258999999998</v>
      </c>
      <c r="G59" s="188">
        <f>SUM(G60:G66)</f>
        <v>1962.6125</v>
      </c>
      <c r="H59" s="188">
        <f>SUM(H60:H66)</f>
        <v>695.97231999999997</v>
      </c>
      <c r="I59" s="188">
        <f>SUM(I60:I66)</f>
        <v>2807.0392800000004</v>
      </c>
    </row>
    <row r="60" spans="1:9" x14ac:dyDescent="0.25">
      <c r="A60" s="191" t="s">
        <v>318</v>
      </c>
      <c r="B60" s="164">
        <v>1131</v>
      </c>
      <c r="C60" s="188">
        <v>4162.72</v>
      </c>
      <c r="D60" s="188">
        <v>5066.5600000000004</v>
      </c>
      <c r="E60" s="189">
        <f t="shared" si="4"/>
        <v>5066.5607300000001</v>
      </c>
      <c r="F60" s="190">
        <f>Видатки!C59/1000</f>
        <v>1688.85358</v>
      </c>
      <c r="G60" s="190">
        <f>Видатки!D59/1000</f>
        <v>1266.6401799999999</v>
      </c>
      <c r="H60" s="190">
        <f>Видатки!E59/1000</f>
        <v>0</v>
      </c>
      <c r="I60" s="190">
        <f>Видатки!F59/1000</f>
        <v>2111.0669700000003</v>
      </c>
    </row>
    <row r="61" spans="1:9" x14ac:dyDescent="0.25">
      <c r="A61" s="191" t="s">
        <v>319</v>
      </c>
      <c r="B61" s="164">
        <v>1132</v>
      </c>
      <c r="C61" s="188">
        <v>1499.23</v>
      </c>
      <c r="D61" s="188">
        <v>2097.85</v>
      </c>
      <c r="E61" s="189">
        <f>SUM(F61:I61)</f>
        <v>2097.8530000000001</v>
      </c>
      <c r="F61" s="190">
        <f>Видатки!C60/1000</f>
        <v>524.46325000000002</v>
      </c>
      <c r="G61" s="190">
        <f>Видатки!D60/1000</f>
        <v>524.46325000000002</v>
      </c>
      <c r="H61" s="190">
        <f>Видатки!E60/1000</f>
        <v>524.46325000000002</v>
      </c>
      <c r="I61" s="190">
        <f>Видатки!F60/1000</f>
        <v>524.46325000000002</v>
      </c>
    </row>
    <row r="62" spans="1:9" ht="20.25" customHeight="1" x14ac:dyDescent="0.25">
      <c r="A62" s="191" t="s">
        <v>320</v>
      </c>
      <c r="B62" s="164">
        <v>1133</v>
      </c>
      <c r="C62" s="188">
        <v>417.91</v>
      </c>
      <c r="D62" s="188">
        <v>491.99</v>
      </c>
      <c r="E62" s="189">
        <f t="shared" si="4"/>
        <v>491.988</v>
      </c>
      <c r="F62" s="190">
        <f>Видатки!C61/1000</f>
        <v>122.997</v>
      </c>
      <c r="G62" s="190">
        <f>Видатки!D61/1000</f>
        <v>122.997</v>
      </c>
      <c r="H62" s="190">
        <f>Видатки!E61/1000</f>
        <v>122.997</v>
      </c>
      <c r="I62" s="190">
        <f>Видатки!F61/1000</f>
        <v>122.997</v>
      </c>
    </row>
    <row r="63" spans="1:9" x14ac:dyDescent="0.25">
      <c r="A63" s="191" t="s">
        <v>321</v>
      </c>
      <c r="B63" s="164">
        <v>1134</v>
      </c>
      <c r="C63" s="188">
        <v>0</v>
      </c>
      <c r="D63" s="188">
        <v>0</v>
      </c>
      <c r="E63" s="189">
        <f t="shared" si="4"/>
        <v>0</v>
      </c>
      <c r="F63" s="190"/>
      <c r="G63" s="190"/>
      <c r="H63" s="190"/>
      <c r="I63" s="190"/>
    </row>
    <row r="64" spans="1:9" x14ac:dyDescent="0.25">
      <c r="A64" s="191" t="s">
        <v>179</v>
      </c>
      <c r="B64" s="164">
        <v>1135</v>
      </c>
      <c r="C64" s="188">
        <v>168.99</v>
      </c>
      <c r="D64" s="188">
        <v>194.05</v>
      </c>
      <c r="E64" s="189">
        <f t="shared" si="4"/>
        <v>194.04827</v>
      </c>
      <c r="F64" s="190">
        <f>Видатки!C63/1000</f>
        <v>48.512070000000001</v>
      </c>
      <c r="G64" s="190">
        <f>Видатки!D63/1000</f>
        <v>48.512070000000001</v>
      </c>
      <c r="H64" s="190">
        <f>Видатки!E63/1000</f>
        <v>48.512070000000001</v>
      </c>
      <c r="I64" s="190">
        <f>Видатки!F63/1000</f>
        <v>48.512059999999998</v>
      </c>
    </row>
    <row r="65" spans="1:9" x14ac:dyDescent="0.25">
      <c r="A65" s="191" t="s">
        <v>180</v>
      </c>
      <c r="B65" s="164">
        <v>1136</v>
      </c>
      <c r="C65" s="188">
        <f>[2]Всього_Видатки!C91/1000</f>
        <v>0</v>
      </c>
      <c r="D65" s="188">
        <v>0</v>
      </c>
      <c r="E65" s="189">
        <f t="shared" si="4"/>
        <v>0</v>
      </c>
      <c r="F65" s="190"/>
      <c r="G65" s="190"/>
      <c r="H65" s="190"/>
      <c r="I65" s="190"/>
    </row>
    <row r="66" spans="1:9" x14ac:dyDescent="0.25">
      <c r="A66" s="191" t="s">
        <v>181</v>
      </c>
      <c r="B66" s="164">
        <v>1137</v>
      </c>
      <c r="C66" s="188">
        <f>[2]Всього_Видатки!C92/1000</f>
        <v>0</v>
      </c>
      <c r="D66" s="188">
        <v>0</v>
      </c>
      <c r="E66" s="189">
        <f t="shared" si="4"/>
        <v>0</v>
      </c>
      <c r="F66" s="190"/>
      <c r="G66" s="190"/>
      <c r="H66" s="190"/>
      <c r="I66" s="190"/>
    </row>
    <row r="67" spans="1:9" x14ac:dyDescent="0.25">
      <c r="A67" s="186" t="s">
        <v>322</v>
      </c>
      <c r="B67" s="164">
        <v>1140</v>
      </c>
      <c r="C67" s="188">
        <v>29.96</v>
      </c>
      <c r="D67" s="188">
        <v>47.9</v>
      </c>
      <c r="E67" s="189">
        <f t="shared" si="4"/>
        <v>47.902999999999999</v>
      </c>
      <c r="F67" s="190">
        <f>Видатки!C53/1000</f>
        <v>13.28825</v>
      </c>
      <c r="G67" s="190">
        <f>Видатки!D53/1000</f>
        <v>11.53825</v>
      </c>
      <c r="H67" s="190">
        <f>Видатки!E53/1000</f>
        <v>11.53825</v>
      </c>
      <c r="I67" s="190">
        <f>Видатки!F53/1000</f>
        <v>11.53825</v>
      </c>
    </row>
    <row r="68" spans="1:9" x14ac:dyDescent="0.25">
      <c r="A68" s="186" t="s">
        <v>323</v>
      </c>
      <c r="B68" s="164">
        <v>1150</v>
      </c>
      <c r="C68" s="188">
        <v>3103.25</v>
      </c>
      <c r="D68" s="193">
        <v>3153.52</v>
      </c>
      <c r="E68" s="189">
        <f t="shared" si="4"/>
        <v>3153.5214000000001</v>
      </c>
      <c r="F68" s="190">
        <f>Видатки!C69/1000</f>
        <v>741.16889000000003</v>
      </c>
      <c r="G68" s="190">
        <f>Видатки!D69/1000</f>
        <v>858.09888999999998</v>
      </c>
      <c r="H68" s="190">
        <f>Видатки!E69/1000</f>
        <v>728.96888999999999</v>
      </c>
      <c r="I68" s="190">
        <f>Видатки!F69/1000</f>
        <v>825.28472999999997</v>
      </c>
    </row>
    <row r="69" spans="1:9" x14ac:dyDescent="0.25">
      <c r="A69" s="186" t="s">
        <v>324</v>
      </c>
      <c r="B69" s="164">
        <v>1160</v>
      </c>
      <c r="C69" s="188">
        <v>39.25</v>
      </c>
      <c r="D69" s="188">
        <v>44.3</v>
      </c>
      <c r="E69" s="189">
        <f t="shared" si="4"/>
        <v>52.514000000000003</v>
      </c>
      <c r="F69" s="190">
        <f>Видатки!C125/1000</f>
        <v>52.514000000000003</v>
      </c>
      <c r="G69" s="190">
        <f>Видатки!D125/1000</f>
        <v>0</v>
      </c>
      <c r="H69" s="190">
        <f>Видатки!E125/1000</f>
        <v>0</v>
      </c>
      <c r="I69" s="190">
        <f>Видатки!F125/1000</f>
        <v>0</v>
      </c>
    </row>
    <row r="70" spans="1:9" ht="47.25" x14ac:dyDescent="0.25">
      <c r="A70" s="186" t="s">
        <v>325</v>
      </c>
      <c r="B70" s="164">
        <v>1170</v>
      </c>
      <c r="C70" s="188">
        <f>[2]Всього_Видатки!C201/1000</f>
        <v>0</v>
      </c>
      <c r="D70" s="188"/>
      <c r="E70" s="189">
        <f t="shared" si="4"/>
        <v>0</v>
      </c>
      <c r="F70" s="190"/>
      <c r="G70" s="190"/>
      <c r="H70" s="190"/>
      <c r="I70" s="190"/>
    </row>
    <row r="71" spans="1:9" ht="31.5" x14ac:dyDescent="0.25">
      <c r="A71" s="186" t="s">
        <v>326</v>
      </c>
      <c r="B71" s="164">
        <v>1180</v>
      </c>
      <c r="C71" s="188">
        <v>243.13</v>
      </c>
      <c r="D71" s="193">
        <v>260.17</v>
      </c>
      <c r="E71" s="189">
        <f t="shared" si="4"/>
        <v>260.16975000000002</v>
      </c>
      <c r="F71" s="190">
        <f>Видатки!C136/1000</f>
        <v>53.771190000000004</v>
      </c>
      <c r="G71" s="190">
        <f>Видатки!D136/1000</f>
        <v>50.686129999999999</v>
      </c>
      <c r="H71" s="190">
        <f>Видатки!E136/1000</f>
        <v>91.537559999999999</v>
      </c>
      <c r="I71" s="190">
        <f>Видатки!F136/1000</f>
        <v>64.174869999999999</v>
      </c>
    </row>
    <row r="72" spans="1:9" s="194" customFormat="1" x14ac:dyDescent="0.25">
      <c r="A72" s="186" t="s">
        <v>327</v>
      </c>
      <c r="B72" s="164">
        <v>1190</v>
      </c>
      <c r="C72" s="188">
        <v>3775.1</v>
      </c>
      <c r="D72" s="188">
        <v>4001.71</v>
      </c>
      <c r="E72" s="189">
        <f t="shared" si="4"/>
        <v>4001.7086600000002</v>
      </c>
      <c r="F72" s="190">
        <f>Видатки!C66/1000</f>
        <v>919.97</v>
      </c>
      <c r="G72" s="190">
        <f>Видатки!D66/1000</f>
        <v>953.08100000000002</v>
      </c>
      <c r="H72" s="190">
        <f>Видатки!E66/1000</f>
        <v>1033.289</v>
      </c>
      <c r="I72" s="190">
        <f>Видатки!F66/1000</f>
        <v>1095.3686600000001</v>
      </c>
    </row>
    <row r="73" spans="1:9" x14ac:dyDescent="0.25">
      <c r="A73" s="186" t="s">
        <v>328</v>
      </c>
      <c r="B73" s="164">
        <v>1200</v>
      </c>
      <c r="C73" s="188">
        <v>106.19</v>
      </c>
      <c r="D73" s="188">
        <v>7.2</v>
      </c>
      <c r="E73" s="189">
        <f t="shared" si="4"/>
        <v>7.2</v>
      </c>
      <c r="F73" s="190">
        <f>Видатки!C129/1000</f>
        <v>2.2000000000000002</v>
      </c>
      <c r="G73" s="190">
        <f>Видатки!D129/1000</f>
        <v>5</v>
      </c>
      <c r="H73" s="190">
        <f>Видатки!E129/1000</f>
        <v>0</v>
      </c>
      <c r="I73" s="190">
        <f>Видатки!F129/1000</f>
        <v>0</v>
      </c>
    </row>
    <row r="74" spans="1:9" x14ac:dyDescent="0.25">
      <c r="A74" s="195" t="s">
        <v>329</v>
      </c>
      <c r="B74" s="164">
        <v>1210</v>
      </c>
      <c r="C74" s="188">
        <f t="shared" ref="C74:I74" si="5">C36+C37+C38+C44+C48</f>
        <v>75713.38</v>
      </c>
      <c r="D74" s="188">
        <f t="shared" si="5"/>
        <v>76880.158590000006</v>
      </c>
      <c r="E74" s="189">
        <f t="shared" si="5"/>
        <v>83936.989070000011</v>
      </c>
      <c r="F74" s="190">
        <f t="shared" si="5"/>
        <v>22323.977000000006</v>
      </c>
      <c r="G74" s="190">
        <f t="shared" si="5"/>
        <v>20734.159660000001</v>
      </c>
      <c r="H74" s="190">
        <f t="shared" si="5"/>
        <v>18815.403610000001</v>
      </c>
      <c r="I74" s="190">
        <f t="shared" si="5"/>
        <v>22063.448800000002</v>
      </c>
    </row>
    <row r="75" spans="1:9" x14ac:dyDescent="0.25">
      <c r="A75" s="195" t="s">
        <v>330</v>
      </c>
      <c r="B75" s="164">
        <v>1220</v>
      </c>
      <c r="C75" s="188">
        <f>C52+C54+C55+C56+C57+C58+C67+C68+C69+C70+C71+C72+C73+C53+C59</f>
        <v>77885.250000000015</v>
      </c>
      <c r="D75" s="188">
        <f>SUM(D67:D73,D59,D52:D58)</f>
        <v>76498.829999999987</v>
      </c>
      <c r="E75" s="189">
        <f>F75+G75+H75+I75</f>
        <v>79193.011126925005</v>
      </c>
      <c r="F75" s="190">
        <f>F52+F54+F55+F56+F57+F58+F67+F68+F69+F70+F71+F72+F73+F53+F59</f>
        <v>20157.625151549997</v>
      </c>
      <c r="G75" s="190">
        <f t="shared" ref="G75:I75" si="6">G52+G54+G55+G56+G57+G58+G67+G68+G69+G70+G71+G72+G73+G53+G59</f>
        <v>19966.091435324997</v>
      </c>
      <c r="H75" s="190">
        <f t="shared" si="6"/>
        <v>18800.325811375005</v>
      </c>
      <c r="I75" s="190">
        <f t="shared" si="6"/>
        <v>20268.968728674998</v>
      </c>
    </row>
    <row r="76" spans="1:9" x14ac:dyDescent="0.25">
      <c r="A76" s="195" t="s">
        <v>331</v>
      </c>
      <c r="B76" s="164">
        <v>1230</v>
      </c>
      <c r="C76" s="188">
        <f t="shared" ref="C76" si="7">C74-C75</f>
        <v>-2171.8700000000099</v>
      </c>
      <c r="D76" s="188">
        <f>D74-D75</f>
        <v>381.32859000001918</v>
      </c>
      <c r="E76" s="189">
        <f t="shared" si="4"/>
        <v>4743.9779430750132</v>
      </c>
      <c r="F76" s="190">
        <f>F74-F75</f>
        <v>2166.3518484500091</v>
      </c>
      <c r="G76" s="190">
        <f t="shared" ref="G76:I76" si="8">G74-G75</f>
        <v>768.06822467500388</v>
      </c>
      <c r="H76" s="190">
        <f t="shared" si="8"/>
        <v>15.077798624995921</v>
      </c>
      <c r="I76" s="190">
        <f t="shared" si="8"/>
        <v>1794.4800713250042</v>
      </c>
    </row>
    <row r="77" spans="1:9" x14ac:dyDescent="0.25">
      <c r="A77" s="250"/>
      <c r="B77" s="251"/>
      <c r="C77" s="251"/>
      <c r="D77" s="251"/>
      <c r="E77" s="251"/>
      <c r="F77" s="251"/>
      <c r="G77" s="251"/>
      <c r="H77" s="251"/>
      <c r="I77" s="252"/>
    </row>
    <row r="78" spans="1:9" x14ac:dyDescent="0.25">
      <c r="A78" s="240" t="s">
        <v>332</v>
      </c>
      <c r="B78" s="241"/>
      <c r="C78" s="241"/>
      <c r="D78" s="241"/>
      <c r="E78" s="241"/>
      <c r="F78" s="241"/>
      <c r="G78" s="241"/>
      <c r="H78" s="241"/>
      <c r="I78" s="242"/>
    </row>
    <row r="79" spans="1:9" ht="31.5" x14ac:dyDescent="0.25">
      <c r="A79" s="186" t="s">
        <v>240</v>
      </c>
      <c r="B79" s="164">
        <v>2010</v>
      </c>
      <c r="C79" s="188">
        <v>10181.18</v>
      </c>
      <c r="D79" s="188">
        <v>10191.08</v>
      </c>
      <c r="E79" s="189">
        <f>F79+G79+H79+I79</f>
        <v>10191.0808385</v>
      </c>
      <c r="F79" s="190">
        <f>[1]Видатки!H131/1000</f>
        <v>2546.0683115500001</v>
      </c>
      <c r="G79" s="190">
        <f>[1]Видатки!I131/1000</f>
        <v>2564.43003585</v>
      </c>
      <c r="H79" s="190">
        <f>[1]Видатки!J131/1000</f>
        <v>2612.3794018999997</v>
      </c>
      <c r="I79" s="190">
        <f>[1]Видатки!K131/1000</f>
        <v>2468.2030891999998</v>
      </c>
    </row>
    <row r="80" spans="1:9" ht="31.5" x14ac:dyDescent="0.25">
      <c r="A80" s="186" t="s">
        <v>333</v>
      </c>
      <c r="B80" s="164">
        <v>2020</v>
      </c>
      <c r="C80" s="188">
        <v>3.2</v>
      </c>
      <c r="D80" s="188">
        <v>3.47</v>
      </c>
      <c r="E80" s="189">
        <f>F80+G80+H80+I80</f>
        <v>3.4702600000000001</v>
      </c>
      <c r="F80" s="190">
        <f>[1]Видатки!H135/1000</f>
        <v>3.4702600000000001</v>
      </c>
      <c r="G80" s="190">
        <f>[1]Видатки!I135/1000</f>
        <v>0</v>
      </c>
      <c r="H80" s="190">
        <f>[1]Видатки!J135/1000</f>
        <v>0</v>
      </c>
      <c r="I80" s="190">
        <f>[1]Видатки!K135/1000</f>
        <v>0</v>
      </c>
    </row>
    <row r="81" spans="1:9" ht="31.5" x14ac:dyDescent="0.25">
      <c r="A81" s="186" t="s">
        <v>245</v>
      </c>
      <c r="B81" s="164">
        <v>2030</v>
      </c>
      <c r="C81" s="196">
        <v>8940.3799999999992</v>
      </c>
      <c r="D81" s="188">
        <v>10894.88</v>
      </c>
      <c r="E81" s="189">
        <f>SUM(F81:I81)</f>
        <v>10894.875566000001</v>
      </c>
      <c r="F81" s="190">
        <f>[1]Видатки!H136/1000</f>
        <v>2721.8855982999994</v>
      </c>
      <c r="G81" s="190">
        <f>[1]Видатки!I136/1000</f>
        <v>2741.3455762999997</v>
      </c>
      <c r="H81" s="190">
        <f>[1]Видатки!J136/1000</f>
        <v>2792.9435578000007</v>
      </c>
      <c r="I81" s="190">
        <f>[1]Видатки!K136/1000</f>
        <v>2638.7008335999994</v>
      </c>
    </row>
    <row r="82" spans="1:9" x14ac:dyDescent="0.25">
      <c r="A82" s="186" t="s">
        <v>248</v>
      </c>
      <c r="B82" s="164">
        <v>2040</v>
      </c>
      <c r="C82" s="188">
        <v>1859.43</v>
      </c>
      <c r="D82" s="188">
        <v>0</v>
      </c>
      <c r="E82" s="189">
        <f>F82+G82+H82+I82</f>
        <v>0</v>
      </c>
      <c r="F82" s="190">
        <f>[2]Всього_Видатки!I188/1000</f>
        <v>0</v>
      </c>
      <c r="G82" s="190">
        <f>[2]Всього_Видатки!J188/1000</f>
        <v>0</v>
      </c>
      <c r="H82" s="190">
        <f>[2]Всього_Видатки!K188/1000</f>
        <v>0</v>
      </c>
      <c r="I82" s="190">
        <f>[2]Всього_Видатки!L188/1000</f>
        <v>0</v>
      </c>
    </row>
    <row r="83" spans="1:9" x14ac:dyDescent="0.25">
      <c r="A83" s="247"/>
      <c r="B83" s="248"/>
      <c r="C83" s="248"/>
      <c r="D83" s="248"/>
      <c r="E83" s="248"/>
      <c r="F83" s="248"/>
      <c r="G83" s="248"/>
      <c r="H83" s="248"/>
      <c r="I83" s="249"/>
    </row>
    <row r="84" spans="1:9" x14ac:dyDescent="0.25">
      <c r="A84" s="240" t="s">
        <v>334</v>
      </c>
      <c r="B84" s="241"/>
      <c r="C84" s="241"/>
      <c r="D84" s="241"/>
      <c r="E84" s="241"/>
      <c r="F84" s="241"/>
      <c r="G84" s="241"/>
      <c r="H84" s="241"/>
      <c r="I84" s="242"/>
    </row>
    <row r="85" spans="1:9" x14ac:dyDescent="0.25">
      <c r="A85" s="186" t="s">
        <v>253</v>
      </c>
      <c r="B85" s="174">
        <v>3010</v>
      </c>
      <c r="C85" s="188">
        <f>[2]Всього_Видатки!C190/1000</f>
        <v>0</v>
      </c>
      <c r="D85" s="188"/>
      <c r="E85" s="189">
        <f t="shared" ref="E85:E90" si="9">F85+G85+H85+I85</f>
        <v>0</v>
      </c>
      <c r="F85" s="190">
        <f>Видатки!C148/1000</f>
        <v>0</v>
      </c>
      <c r="G85" s="190">
        <f>Видатки!D148/1000</f>
        <v>0</v>
      </c>
      <c r="H85" s="190">
        <f>Видатки!E148/1000</f>
        <v>0</v>
      </c>
      <c r="I85" s="190">
        <f>Видатки!F148/1000</f>
        <v>0</v>
      </c>
    </row>
    <row r="86" spans="1:9" x14ac:dyDescent="0.25">
      <c r="A86" s="186" t="s">
        <v>335</v>
      </c>
      <c r="B86" s="197">
        <v>3020</v>
      </c>
      <c r="C86" s="188">
        <v>2657</v>
      </c>
      <c r="D86" s="188">
        <v>944.25</v>
      </c>
      <c r="E86" s="189">
        <f t="shared" si="9"/>
        <v>1405</v>
      </c>
      <c r="F86" s="190">
        <f>Видатки!C153/1000</f>
        <v>1140</v>
      </c>
      <c r="G86" s="190">
        <f>Видатки!D153/1000</f>
        <v>265</v>
      </c>
      <c r="H86" s="190">
        <f>Видатки!E153/1000</f>
        <v>0</v>
      </c>
      <c r="I86" s="190">
        <f>Видатки!F153/1000</f>
        <v>0</v>
      </c>
    </row>
    <row r="87" spans="1:9" ht="31.5" x14ac:dyDescent="0.25">
      <c r="A87" s="186" t="s">
        <v>255</v>
      </c>
      <c r="B87" s="174">
        <v>3030</v>
      </c>
      <c r="C87" s="188">
        <v>770.03</v>
      </c>
      <c r="D87" s="188">
        <v>0</v>
      </c>
      <c r="E87" s="189">
        <f t="shared" si="9"/>
        <v>52</v>
      </c>
      <c r="F87" s="190">
        <f>Видатки!C158/1000</f>
        <v>10</v>
      </c>
      <c r="G87" s="190">
        <f>Видатки!D158/1000</f>
        <v>42</v>
      </c>
      <c r="H87" s="190">
        <f>Видатки!E158/1000</f>
        <v>0</v>
      </c>
      <c r="I87" s="190">
        <f>Видатки!F158/1000</f>
        <v>0</v>
      </c>
    </row>
    <row r="88" spans="1:9" x14ac:dyDescent="0.25">
      <c r="A88" s="186" t="s">
        <v>256</v>
      </c>
      <c r="B88" s="197">
        <v>3040</v>
      </c>
      <c r="C88" s="188">
        <v>32.04</v>
      </c>
      <c r="D88" s="188"/>
      <c r="E88" s="189">
        <f t="shared" si="9"/>
        <v>0</v>
      </c>
      <c r="F88" s="190">
        <f>Видатки!C163/1000</f>
        <v>0</v>
      </c>
      <c r="G88" s="190">
        <f>Видатки!D163/1000</f>
        <v>0</v>
      </c>
      <c r="H88" s="190">
        <f>Видатки!E163/1000</f>
        <v>0</v>
      </c>
      <c r="I88" s="190">
        <f>Видатки!F163/1000</f>
        <v>0</v>
      </c>
    </row>
    <row r="89" spans="1:9" ht="31.5" x14ac:dyDescent="0.25">
      <c r="A89" s="186" t="s">
        <v>257</v>
      </c>
      <c r="B89" s="174">
        <v>3050</v>
      </c>
      <c r="C89" s="188"/>
      <c r="D89" s="188"/>
      <c r="E89" s="189">
        <f>SUM(F89:I89)</f>
        <v>0</v>
      </c>
      <c r="F89" s="188">
        <f>Видатки!C168/1000</f>
        <v>0</v>
      </c>
      <c r="G89" s="188">
        <f>Видатки!D168/1000</f>
        <v>0</v>
      </c>
      <c r="H89" s="188">
        <f>Видатки!E168/1000</f>
        <v>0</v>
      </c>
      <c r="I89" s="188">
        <f>Видатки!F168/1000</f>
        <v>0</v>
      </c>
    </row>
    <row r="90" spans="1:9" x14ac:dyDescent="0.25">
      <c r="A90" s="186" t="s">
        <v>258</v>
      </c>
      <c r="B90" s="197">
        <v>3060</v>
      </c>
      <c r="C90" s="188">
        <v>4450.1000000000004</v>
      </c>
      <c r="D90" s="188">
        <v>1523.14</v>
      </c>
      <c r="E90" s="189">
        <f t="shared" si="9"/>
        <v>2110.0830000000001</v>
      </c>
      <c r="F90" s="190">
        <f>Видатки!C173/1000</f>
        <v>911.94</v>
      </c>
      <c r="G90" s="190">
        <f>Видатки!D173/1000</f>
        <v>0</v>
      </c>
      <c r="H90" s="190">
        <f>Видатки!E173/1000</f>
        <v>1198.143</v>
      </c>
      <c r="I90" s="190">
        <f>Видатки!F173/1000</f>
        <v>0</v>
      </c>
    </row>
    <row r="91" spans="1:9" x14ac:dyDescent="0.25">
      <c r="A91" s="186" t="s">
        <v>182</v>
      </c>
      <c r="B91" s="164">
        <v>3070</v>
      </c>
      <c r="C91" s="188">
        <v>3775.1</v>
      </c>
      <c r="D91" s="188">
        <v>4001.71</v>
      </c>
      <c r="E91" s="189">
        <f>F91+G91+H91+I91</f>
        <v>4001.7086600000002</v>
      </c>
      <c r="F91" s="190">
        <f>[1]Видатки!H66/1000</f>
        <v>919.97</v>
      </c>
      <c r="G91" s="190">
        <f>[1]Видатки!I66/1000</f>
        <v>953.08100000000002</v>
      </c>
      <c r="H91" s="190">
        <f>[1]Видатки!J66/1000</f>
        <v>1033.289</v>
      </c>
      <c r="I91" s="190">
        <f>[1]Видатки!K66/1000</f>
        <v>1095.3686600000001</v>
      </c>
    </row>
    <row r="92" spans="1:9" x14ac:dyDescent="0.25">
      <c r="A92" s="247"/>
      <c r="B92" s="248"/>
      <c r="C92" s="248"/>
      <c r="D92" s="248"/>
      <c r="E92" s="248"/>
      <c r="F92" s="248"/>
      <c r="G92" s="248"/>
      <c r="H92" s="248"/>
      <c r="I92" s="249"/>
    </row>
    <row r="93" spans="1:9" x14ac:dyDescent="0.25">
      <c r="A93" s="240" t="s">
        <v>336</v>
      </c>
      <c r="B93" s="241"/>
      <c r="C93" s="241"/>
      <c r="D93" s="241"/>
      <c r="E93" s="241"/>
      <c r="F93" s="241"/>
      <c r="G93" s="241"/>
      <c r="H93" s="241"/>
      <c r="I93" s="242"/>
    </row>
    <row r="94" spans="1:9" x14ac:dyDescent="0.25">
      <c r="A94" s="186" t="s">
        <v>337</v>
      </c>
      <c r="B94" s="164">
        <v>4010</v>
      </c>
      <c r="C94" s="198">
        <f>[2]Всього_Видатки!C197/1000</f>
        <v>0</v>
      </c>
      <c r="D94" s="198"/>
      <c r="E94" s="199">
        <f t="shared" ref="E94:E96" si="10">F94+G94+H94+I94</f>
        <v>0</v>
      </c>
      <c r="F94" s="200">
        <f>[2]Всього_Видатки!I197/1000</f>
        <v>0</v>
      </c>
      <c r="G94" s="200">
        <f>[2]Всього_Видатки!J197/1000</f>
        <v>0</v>
      </c>
      <c r="H94" s="200">
        <f>[2]Всього_Видатки!K197/1000</f>
        <v>0</v>
      </c>
      <c r="I94" s="200">
        <f>[2]Всього_Видатки!L197/1000</f>
        <v>0</v>
      </c>
    </row>
    <row r="95" spans="1:9" x14ac:dyDescent="0.25">
      <c r="A95" s="186" t="s">
        <v>338</v>
      </c>
      <c r="B95" s="164">
        <v>4020</v>
      </c>
      <c r="C95" s="198">
        <f>[2]Всього_Видатки!C198/1000</f>
        <v>0</v>
      </c>
      <c r="D95" s="198"/>
      <c r="E95" s="199">
        <f t="shared" si="10"/>
        <v>0</v>
      </c>
      <c r="F95" s="200">
        <f>[2]Всього_Видатки!I198/1000</f>
        <v>0</v>
      </c>
      <c r="G95" s="200">
        <f>[2]Всього_Видатки!J198/1000</f>
        <v>0</v>
      </c>
      <c r="H95" s="200">
        <f>[2]Всього_Видатки!K198/1000</f>
        <v>0</v>
      </c>
      <c r="I95" s="200">
        <f>[2]Всього_Видатки!L198/1000</f>
        <v>0</v>
      </c>
    </row>
    <row r="96" spans="1:9" x14ac:dyDescent="0.25">
      <c r="A96" s="186" t="s">
        <v>339</v>
      </c>
      <c r="B96" s="164">
        <v>4030</v>
      </c>
      <c r="C96" s="198">
        <f>[2]Всього_Видатки!C199/1000</f>
        <v>0</v>
      </c>
      <c r="D96" s="198"/>
      <c r="E96" s="199">
        <f t="shared" si="10"/>
        <v>0</v>
      </c>
      <c r="F96" s="200">
        <f>[2]Всього_Видатки!I199/1000</f>
        <v>0</v>
      </c>
      <c r="G96" s="200">
        <f>[2]Всього_Видатки!J199/1000</f>
        <v>0</v>
      </c>
      <c r="H96" s="200">
        <f>[2]Всього_Видатки!K199/1000</f>
        <v>0</v>
      </c>
      <c r="I96" s="200">
        <f>[2]Всього_Видатки!L199/1000</f>
        <v>0</v>
      </c>
    </row>
    <row r="97" spans="1:9" s="201" customFormat="1" x14ac:dyDescent="0.25">
      <c r="A97" s="250"/>
      <c r="B97" s="251"/>
      <c r="C97" s="251"/>
      <c r="D97" s="251"/>
      <c r="E97" s="251"/>
      <c r="F97" s="251"/>
      <c r="G97" s="251"/>
      <c r="H97" s="251"/>
      <c r="I97" s="252"/>
    </row>
    <row r="98" spans="1:9" s="201" customFormat="1" x14ac:dyDescent="0.25">
      <c r="A98" s="240" t="s">
        <v>340</v>
      </c>
      <c r="B98" s="241"/>
      <c r="C98" s="241"/>
      <c r="D98" s="241"/>
      <c r="E98" s="241"/>
      <c r="F98" s="241"/>
      <c r="G98" s="241"/>
      <c r="H98" s="241"/>
      <c r="I98" s="242"/>
    </row>
    <row r="99" spans="1:9" s="201" customFormat="1" x14ac:dyDescent="0.25">
      <c r="A99" s="186" t="s">
        <v>341</v>
      </c>
      <c r="B99" s="174">
        <v>5010</v>
      </c>
      <c r="C99" s="202">
        <v>37390.300000000003</v>
      </c>
      <c r="D99" s="202">
        <v>30868</v>
      </c>
      <c r="E99" s="203">
        <v>30868</v>
      </c>
      <c r="F99" s="202" t="s">
        <v>342</v>
      </c>
      <c r="G99" s="202" t="s">
        <v>342</v>
      </c>
      <c r="H99" s="202" t="s">
        <v>342</v>
      </c>
      <c r="I99" s="202" t="s">
        <v>342</v>
      </c>
    </row>
    <row r="100" spans="1:9" s="201" customFormat="1" x14ac:dyDescent="0.25">
      <c r="A100" s="186" t="s">
        <v>343</v>
      </c>
      <c r="B100" s="174">
        <v>5020</v>
      </c>
      <c r="C100" s="202">
        <v>4827.2</v>
      </c>
      <c r="D100" s="202"/>
      <c r="E100" s="203"/>
      <c r="F100" s="202" t="s">
        <v>342</v>
      </c>
      <c r="G100" s="202" t="s">
        <v>342</v>
      </c>
      <c r="H100" s="202" t="s">
        <v>342</v>
      </c>
      <c r="I100" s="202" t="s">
        <v>342</v>
      </c>
    </row>
    <row r="101" spans="1:9" s="201" customFormat="1" x14ac:dyDescent="0.25">
      <c r="A101" s="186" t="s">
        <v>344</v>
      </c>
      <c r="B101" s="174">
        <v>5030</v>
      </c>
      <c r="C101" s="202">
        <v>42217.5</v>
      </c>
      <c r="D101" s="202">
        <v>30868</v>
      </c>
      <c r="E101" s="203">
        <f>SUM(E99:E100)</f>
        <v>30868</v>
      </c>
      <c r="F101" s="202" t="s">
        <v>342</v>
      </c>
      <c r="G101" s="202" t="s">
        <v>342</v>
      </c>
      <c r="H101" s="202" t="s">
        <v>342</v>
      </c>
      <c r="I101" s="202" t="s">
        <v>342</v>
      </c>
    </row>
    <row r="102" spans="1:9" s="201" customFormat="1" x14ac:dyDescent="0.25">
      <c r="A102" s="186" t="s">
        <v>345</v>
      </c>
      <c r="B102" s="174">
        <v>5040</v>
      </c>
      <c r="C102" s="202">
        <v>1892.2</v>
      </c>
      <c r="D102" s="202"/>
      <c r="E102" s="203"/>
      <c r="F102" s="202" t="s">
        <v>342</v>
      </c>
      <c r="G102" s="202" t="s">
        <v>342</v>
      </c>
      <c r="H102" s="202" t="s">
        <v>342</v>
      </c>
      <c r="I102" s="202" t="s">
        <v>342</v>
      </c>
    </row>
    <row r="103" spans="1:9" s="201" customFormat="1" x14ac:dyDescent="0.25">
      <c r="A103" s="186" t="s">
        <v>346</v>
      </c>
      <c r="B103" s="174">
        <v>5050</v>
      </c>
      <c r="C103" s="202">
        <v>6871.5</v>
      </c>
      <c r="D103" s="202"/>
      <c r="E103" s="203"/>
      <c r="F103" s="202" t="s">
        <v>342</v>
      </c>
      <c r="G103" s="202" t="s">
        <v>342</v>
      </c>
      <c r="H103" s="202" t="s">
        <v>342</v>
      </c>
      <c r="I103" s="202" t="s">
        <v>342</v>
      </c>
    </row>
    <row r="104" spans="1:9" s="201" customFormat="1" x14ac:dyDescent="0.25">
      <c r="A104" s="247"/>
      <c r="B104" s="248"/>
      <c r="C104" s="248"/>
      <c r="D104" s="248"/>
      <c r="E104" s="248"/>
      <c r="F104" s="248"/>
      <c r="G104" s="248"/>
      <c r="H104" s="248"/>
      <c r="I104" s="249"/>
    </row>
    <row r="105" spans="1:9" x14ac:dyDescent="0.25">
      <c r="A105" s="240" t="s">
        <v>347</v>
      </c>
      <c r="B105" s="241"/>
      <c r="C105" s="241"/>
      <c r="D105" s="241"/>
      <c r="E105" s="241"/>
      <c r="F105" s="241"/>
      <c r="G105" s="241"/>
      <c r="H105" s="241"/>
      <c r="I105" s="242"/>
    </row>
    <row r="106" spans="1:9" ht="63" x14ac:dyDescent="0.25">
      <c r="A106" s="186" t="s">
        <v>348</v>
      </c>
      <c r="B106" s="187">
        <v>6010</v>
      </c>
      <c r="C106" s="188">
        <v>287.75</v>
      </c>
      <c r="D106" s="188">
        <v>274</v>
      </c>
      <c r="E106" s="189">
        <f>AVERAGE(F106:I106)</f>
        <v>274</v>
      </c>
      <c r="F106" s="190">
        <f>SUM(F107:F112)</f>
        <v>274</v>
      </c>
      <c r="G106" s="190">
        <f t="shared" ref="G106:I106" si="11">SUM(G107:G112)</f>
        <v>274</v>
      </c>
      <c r="H106" s="190">
        <f t="shared" si="11"/>
        <v>274</v>
      </c>
      <c r="I106" s="190">
        <f t="shared" si="11"/>
        <v>274</v>
      </c>
    </row>
    <row r="107" spans="1:9" x14ac:dyDescent="0.25">
      <c r="A107" s="191" t="s">
        <v>154</v>
      </c>
      <c r="B107" s="187">
        <v>6011</v>
      </c>
      <c r="C107" s="188">
        <v>1</v>
      </c>
      <c r="D107" s="188">
        <v>1</v>
      </c>
      <c r="E107" s="189">
        <f>SUM(F107:I107)/4</f>
        <v>1</v>
      </c>
      <c r="F107" s="190">
        <v>1</v>
      </c>
      <c r="G107" s="190">
        <v>1</v>
      </c>
      <c r="H107" s="190">
        <v>1</v>
      </c>
      <c r="I107" s="190">
        <v>1</v>
      </c>
    </row>
    <row r="108" spans="1:9" x14ac:dyDescent="0.25">
      <c r="A108" s="191" t="s">
        <v>159</v>
      </c>
      <c r="B108" s="187">
        <v>6014</v>
      </c>
      <c r="C108" s="188">
        <v>65</v>
      </c>
      <c r="D108" s="188">
        <v>60.25</v>
      </c>
      <c r="E108" s="189">
        <f t="shared" ref="E108:E112" si="12">SUM(F108:I108)/4</f>
        <v>60.25</v>
      </c>
      <c r="F108" s="190">
        <v>60.25</v>
      </c>
      <c r="G108" s="190">
        <v>60.25</v>
      </c>
      <c r="H108" s="190">
        <v>60.25</v>
      </c>
      <c r="I108" s="190">
        <v>60.25</v>
      </c>
    </row>
    <row r="109" spans="1:9" x14ac:dyDescent="0.25">
      <c r="A109" s="191" t="s">
        <v>160</v>
      </c>
      <c r="B109" s="187">
        <v>6016</v>
      </c>
      <c r="C109" s="188">
        <v>115</v>
      </c>
      <c r="D109" s="188">
        <v>107</v>
      </c>
      <c r="E109" s="189">
        <f t="shared" si="12"/>
        <v>107</v>
      </c>
      <c r="F109" s="190">
        <v>107</v>
      </c>
      <c r="G109" s="190">
        <v>107</v>
      </c>
      <c r="H109" s="190">
        <v>107</v>
      </c>
      <c r="I109" s="190">
        <v>107</v>
      </c>
    </row>
    <row r="110" spans="1:9" x14ac:dyDescent="0.25">
      <c r="A110" s="191" t="s">
        <v>349</v>
      </c>
      <c r="B110" s="187">
        <v>6017</v>
      </c>
      <c r="C110" s="188">
        <v>66.25</v>
      </c>
      <c r="D110" s="188">
        <v>65.75</v>
      </c>
      <c r="E110" s="189">
        <f t="shared" si="12"/>
        <v>65.75</v>
      </c>
      <c r="F110" s="190">
        <v>65.75</v>
      </c>
      <c r="G110" s="190">
        <v>65.75</v>
      </c>
      <c r="H110" s="190">
        <v>65.75</v>
      </c>
      <c r="I110" s="190">
        <v>65.75</v>
      </c>
    </row>
    <row r="111" spans="1:9" x14ac:dyDescent="0.25">
      <c r="A111" s="191" t="s">
        <v>162</v>
      </c>
      <c r="B111" s="187">
        <v>6018</v>
      </c>
      <c r="C111" s="188">
        <v>3</v>
      </c>
      <c r="D111" s="188">
        <v>3</v>
      </c>
      <c r="E111" s="189">
        <f t="shared" si="12"/>
        <v>3</v>
      </c>
      <c r="F111" s="190">
        <v>3</v>
      </c>
      <c r="G111" s="190">
        <v>3</v>
      </c>
      <c r="H111" s="190">
        <v>3</v>
      </c>
      <c r="I111" s="190">
        <v>3</v>
      </c>
    </row>
    <row r="112" spans="1:9" x14ac:dyDescent="0.25">
      <c r="A112" s="191" t="s">
        <v>163</v>
      </c>
      <c r="B112" s="187">
        <v>6019</v>
      </c>
      <c r="C112" s="188">
        <v>37.5</v>
      </c>
      <c r="D112" s="188">
        <v>37</v>
      </c>
      <c r="E112" s="189">
        <f t="shared" si="12"/>
        <v>37</v>
      </c>
      <c r="F112" s="190">
        <v>37</v>
      </c>
      <c r="G112" s="190">
        <v>37</v>
      </c>
      <c r="H112" s="190">
        <v>37</v>
      </c>
      <c r="I112" s="190">
        <v>37</v>
      </c>
    </row>
    <row r="113" spans="1:9" x14ac:dyDescent="0.25">
      <c r="A113" s="186" t="s">
        <v>350</v>
      </c>
      <c r="B113" s="187">
        <v>6020</v>
      </c>
      <c r="C113" s="188">
        <f t="shared" ref="C113:I113" si="13">SUM(C114:C119)</f>
        <v>47963.119999999995</v>
      </c>
      <c r="D113" s="188">
        <f>SUM(D114:D119)</f>
        <v>47369.01</v>
      </c>
      <c r="E113" s="189">
        <f>SUM(F113:I113)</f>
        <v>47369.0242</v>
      </c>
      <c r="F113" s="190">
        <f>SUM(F114:F119)</f>
        <v>11834.28521</v>
      </c>
      <c r="G113" s="190">
        <f t="shared" si="13"/>
        <v>11918.89381</v>
      </c>
      <c r="H113" s="190">
        <f t="shared" si="13"/>
        <v>12143.232859999998</v>
      </c>
      <c r="I113" s="190">
        <f t="shared" si="13"/>
        <v>11472.612319999998</v>
      </c>
    </row>
    <row r="114" spans="1:9" x14ac:dyDescent="0.25">
      <c r="A114" s="191" t="s">
        <v>154</v>
      </c>
      <c r="B114" s="187">
        <v>6021</v>
      </c>
      <c r="C114" s="188">
        <v>393.96</v>
      </c>
      <c r="D114" s="188">
        <v>393.84</v>
      </c>
      <c r="E114" s="189">
        <f t="shared" ref="E114:E119" si="14">SUM(F114:I114)</f>
        <v>393.83912000000004</v>
      </c>
      <c r="F114" s="190">
        <f>[1]Видатки!H6/1000</f>
        <v>91.103369999999998</v>
      </c>
      <c r="G114" s="190">
        <f>[1]Видатки!I6/1000</f>
        <v>116.47072</v>
      </c>
      <c r="H114" s="190">
        <f>[1]Видатки!J6/1000</f>
        <v>92.958670000000012</v>
      </c>
      <c r="I114" s="190">
        <f>[1]Видатки!K6/1000</f>
        <v>93.306359999999998</v>
      </c>
    </row>
    <row r="115" spans="1:9" x14ac:dyDescent="0.25">
      <c r="A115" s="191" t="s">
        <v>159</v>
      </c>
      <c r="B115" s="187">
        <v>6024</v>
      </c>
      <c r="C115" s="188">
        <v>15682.82</v>
      </c>
      <c r="D115" s="188">
        <v>14431.18</v>
      </c>
      <c r="E115" s="189">
        <f t="shared" si="14"/>
        <v>14431.184740000001</v>
      </c>
      <c r="F115" s="190">
        <f>[1]Видатки!H11/1000</f>
        <v>3643.5016999999998</v>
      </c>
      <c r="G115" s="190">
        <f>[1]Видатки!I11/1000</f>
        <v>3611.47597</v>
      </c>
      <c r="H115" s="190">
        <f>[1]Видатки!J11/1000</f>
        <v>3695.0553500000001</v>
      </c>
      <c r="I115" s="190">
        <f>[1]Видатки!K11/1000</f>
        <v>3481.1517199999998</v>
      </c>
    </row>
    <row r="116" spans="1:9" x14ac:dyDescent="0.25">
      <c r="A116" s="191" t="s">
        <v>160</v>
      </c>
      <c r="B116" s="187">
        <v>6026</v>
      </c>
      <c r="C116" s="188">
        <v>18662.43</v>
      </c>
      <c r="D116" s="188">
        <v>18805.16</v>
      </c>
      <c r="E116" s="189">
        <f t="shared" si="14"/>
        <v>18805.164749999996</v>
      </c>
      <c r="F116" s="190">
        <f>[1]Видатки!H16/1000</f>
        <v>4688.6283199999998</v>
      </c>
      <c r="G116" s="190">
        <f>[1]Видатки!I16/1000</f>
        <v>4604.2078200000005</v>
      </c>
      <c r="H116" s="190">
        <f>[1]Видатки!J16/1000</f>
        <v>4932.1060399999997</v>
      </c>
      <c r="I116" s="190">
        <f>[1]Видатки!K16/1000</f>
        <v>4580.222569999999</v>
      </c>
    </row>
    <row r="117" spans="1:9" x14ac:dyDescent="0.25">
      <c r="A117" s="191" t="s">
        <v>349</v>
      </c>
      <c r="B117" s="187">
        <v>6027</v>
      </c>
      <c r="C117" s="188">
        <v>6818.22</v>
      </c>
      <c r="D117" s="188">
        <v>7320.07</v>
      </c>
      <c r="E117" s="189">
        <f t="shared" si="14"/>
        <v>7320.0733700000001</v>
      </c>
      <c r="F117" s="190">
        <f>[1]Видатки!H21/1000</f>
        <v>1776.1036999999999</v>
      </c>
      <c r="G117" s="190">
        <f>[1]Видатки!I21/1000</f>
        <v>1914.94406</v>
      </c>
      <c r="H117" s="190">
        <f>[1]Видатки!J21/1000</f>
        <v>1911.83449</v>
      </c>
      <c r="I117" s="190">
        <f>[1]Видатки!K21/1000</f>
        <v>1717.19112</v>
      </c>
    </row>
    <row r="118" spans="1:9" x14ac:dyDescent="0.25">
      <c r="A118" s="191" t="s">
        <v>162</v>
      </c>
      <c r="B118" s="187">
        <v>6028</v>
      </c>
      <c r="C118" s="188">
        <v>973.38</v>
      </c>
      <c r="D118" s="188">
        <v>954.29</v>
      </c>
      <c r="E118" s="189">
        <f t="shared" si="14"/>
        <v>954.28798000000006</v>
      </c>
      <c r="F118" s="190">
        <f>[1]Видатки!H26/1000</f>
        <v>248.29491000000002</v>
      </c>
      <c r="G118" s="190">
        <f>[1]Видатки!I26/1000</f>
        <v>257.10262</v>
      </c>
      <c r="H118" s="190">
        <f>[1]Видатки!J26/1000</f>
        <v>223.90873000000002</v>
      </c>
      <c r="I118" s="190">
        <f>[1]Видатки!K26/1000</f>
        <v>224.98171999999997</v>
      </c>
    </row>
    <row r="119" spans="1:9" x14ac:dyDescent="0.25">
      <c r="A119" s="191" t="s">
        <v>163</v>
      </c>
      <c r="B119" s="187">
        <v>6029</v>
      </c>
      <c r="C119" s="188">
        <v>5432.31</v>
      </c>
      <c r="D119" s="188">
        <v>5464.47</v>
      </c>
      <c r="E119" s="189">
        <f t="shared" si="14"/>
        <v>5464.4742399999996</v>
      </c>
      <c r="F119" s="190">
        <f>[1]Видатки!H31/1000</f>
        <v>1386.6532099999999</v>
      </c>
      <c r="G119" s="190">
        <f>[1]Видатки!I31/1000</f>
        <v>1414.6926199999998</v>
      </c>
      <c r="H119" s="190">
        <f>[1]Видатки!J31/1000</f>
        <v>1287.3695799999998</v>
      </c>
      <c r="I119" s="190">
        <f>[1]Видатки!K31/1000</f>
        <v>1375.7588300000002</v>
      </c>
    </row>
    <row r="120" spans="1:9" ht="31.5" x14ac:dyDescent="0.25">
      <c r="A120" s="186" t="s">
        <v>351</v>
      </c>
      <c r="B120" s="187">
        <v>6030</v>
      </c>
      <c r="C120" s="188">
        <f>C113/C106/12*1000</f>
        <v>13890.275123081379</v>
      </c>
      <c r="D120" s="188">
        <f>D113/D106/12*1000</f>
        <v>14406.633211678833</v>
      </c>
      <c r="E120" s="189">
        <f>E113/E106/12*1000</f>
        <v>14406.637530413625</v>
      </c>
      <c r="F120" s="190">
        <f>F113/F106/3*1000</f>
        <v>14396.940644768856</v>
      </c>
      <c r="G120" s="190">
        <f t="shared" ref="G120:I120" si="15">G113/G106/3*1000</f>
        <v>14499.870815085158</v>
      </c>
      <c r="H120" s="190">
        <f t="shared" si="15"/>
        <v>14772.78936739659</v>
      </c>
      <c r="I120" s="190">
        <f t="shared" si="15"/>
        <v>13956.949294403892</v>
      </c>
    </row>
    <row r="121" spans="1:9" x14ac:dyDescent="0.25">
      <c r="A121" s="191" t="s">
        <v>154</v>
      </c>
      <c r="B121" s="187">
        <v>6031</v>
      </c>
      <c r="C121" s="188">
        <f t="shared" ref="C121:E126" si="16">IFERROR(C114/12/C107,0)*1000</f>
        <v>32830</v>
      </c>
      <c r="D121" s="188">
        <v>32819.93</v>
      </c>
      <c r="E121" s="189">
        <f t="shared" si="16"/>
        <v>32819.926666666666</v>
      </c>
      <c r="F121" s="190">
        <f t="shared" ref="F121:I126" si="17">IFERROR(F114/3/F107,0)*1000</f>
        <v>30367.79</v>
      </c>
      <c r="G121" s="190">
        <f t="shared" si="17"/>
        <v>38823.573333333334</v>
      </c>
      <c r="H121" s="190">
        <f t="shared" si="17"/>
        <v>30986.223333333339</v>
      </c>
      <c r="I121" s="190">
        <f t="shared" si="17"/>
        <v>31102.12</v>
      </c>
    </row>
    <row r="122" spans="1:9" x14ac:dyDescent="0.25">
      <c r="A122" s="191" t="s">
        <v>159</v>
      </c>
      <c r="B122" s="187">
        <v>6034</v>
      </c>
      <c r="C122" s="188">
        <f t="shared" si="16"/>
        <v>20106.179487179485</v>
      </c>
      <c r="D122" s="188">
        <v>19960.14</v>
      </c>
      <c r="E122" s="189">
        <f t="shared" si="16"/>
        <v>19960.144868603045</v>
      </c>
      <c r="F122" s="190">
        <f t="shared" si="17"/>
        <v>20157.685753803595</v>
      </c>
      <c r="G122" s="190">
        <f t="shared" si="17"/>
        <v>19980.503291839559</v>
      </c>
      <c r="H122" s="190">
        <f t="shared" si="17"/>
        <v>20442.906500691563</v>
      </c>
      <c r="I122" s="190">
        <f t="shared" si="17"/>
        <v>19259.483928077454</v>
      </c>
    </row>
    <row r="123" spans="1:9" x14ac:dyDescent="0.25">
      <c r="A123" s="191" t="s">
        <v>160</v>
      </c>
      <c r="B123" s="187">
        <v>6036</v>
      </c>
      <c r="C123" s="188">
        <f t="shared" si="16"/>
        <v>13523.5</v>
      </c>
      <c r="D123" s="188">
        <v>14645.77</v>
      </c>
      <c r="E123" s="189">
        <f t="shared" si="16"/>
        <v>14645.766939252335</v>
      </c>
      <c r="F123" s="190">
        <f t="shared" si="17"/>
        <v>14606.31875389408</v>
      </c>
      <c r="G123" s="190">
        <f t="shared" si="17"/>
        <v>14343.326542056078</v>
      </c>
      <c r="H123" s="190">
        <f t="shared" si="17"/>
        <v>15364.816323987538</v>
      </c>
      <c r="I123" s="190">
        <f t="shared" si="17"/>
        <v>14268.606137071649</v>
      </c>
    </row>
    <row r="124" spans="1:9" x14ac:dyDescent="0.25">
      <c r="A124" s="191" t="s">
        <v>161</v>
      </c>
      <c r="B124" s="187">
        <v>6037</v>
      </c>
      <c r="C124" s="188">
        <f t="shared" si="16"/>
        <v>8576.3773584905684</v>
      </c>
      <c r="D124" s="188">
        <v>9277.66</v>
      </c>
      <c r="E124" s="189">
        <f t="shared" si="16"/>
        <v>9277.6595310519624</v>
      </c>
      <c r="F124" s="190">
        <f t="shared" si="17"/>
        <v>9004.3280101394157</v>
      </c>
      <c r="G124" s="190">
        <f t="shared" si="17"/>
        <v>9708.2081622306723</v>
      </c>
      <c r="H124" s="190">
        <f t="shared" si="17"/>
        <v>9692.4435487959436</v>
      </c>
      <c r="I124" s="190">
        <f t="shared" si="17"/>
        <v>8705.6584030418235</v>
      </c>
    </row>
    <row r="125" spans="1:9" x14ac:dyDescent="0.25">
      <c r="A125" s="191" t="s">
        <v>162</v>
      </c>
      <c r="B125" s="187">
        <v>6038</v>
      </c>
      <c r="C125" s="188">
        <f t="shared" si="16"/>
        <v>27038.333333333332</v>
      </c>
      <c r="D125" s="188">
        <v>26508</v>
      </c>
      <c r="E125" s="189">
        <f t="shared" si="16"/>
        <v>26507.999444444446</v>
      </c>
      <c r="F125" s="190">
        <f t="shared" si="17"/>
        <v>27588.323333333334</v>
      </c>
      <c r="G125" s="190">
        <f t="shared" si="17"/>
        <v>28566.957777777778</v>
      </c>
      <c r="H125" s="190">
        <f t="shared" si="17"/>
        <v>24878.747777777779</v>
      </c>
      <c r="I125" s="190">
        <f t="shared" si="17"/>
        <v>24997.968888888889</v>
      </c>
    </row>
    <row r="126" spans="1:9" x14ac:dyDescent="0.25">
      <c r="A126" s="191" t="s">
        <v>163</v>
      </c>
      <c r="B126" s="187">
        <v>6039</v>
      </c>
      <c r="C126" s="188">
        <f t="shared" si="16"/>
        <v>12071.800000000001</v>
      </c>
      <c r="D126" s="188">
        <v>12307.37</v>
      </c>
      <c r="E126" s="189">
        <f t="shared" si="16"/>
        <v>12307.374414414413</v>
      </c>
      <c r="F126" s="190">
        <f>IFERROR(F119/3/F112,0)*1000</f>
        <v>12492.371261261262</v>
      </c>
      <c r="G126" s="190">
        <f t="shared" si="17"/>
        <v>12744.978558558558</v>
      </c>
      <c r="H126" s="190">
        <f t="shared" si="17"/>
        <v>11597.924144144143</v>
      </c>
      <c r="I126" s="190">
        <f t="shared" si="17"/>
        <v>12394.223693693695</v>
      </c>
    </row>
    <row r="127" spans="1:9" x14ac:dyDescent="0.25">
      <c r="A127" s="186" t="s">
        <v>352</v>
      </c>
      <c r="B127" s="187">
        <v>6040</v>
      </c>
      <c r="C127" s="188">
        <f>SUM(C128:C133)</f>
        <v>5611.3</v>
      </c>
      <c r="D127" s="188">
        <f t="shared" ref="D127:E133" si="18">SUM(D128:D133)</f>
        <v>0</v>
      </c>
      <c r="E127" s="189">
        <f t="shared" si="18"/>
        <v>0</v>
      </c>
      <c r="F127" s="190" t="s">
        <v>342</v>
      </c>
      <c r="G127" s="190" t="s">
        <v>342</v>
      </c>
      <c r="H127" s="190" t="s">
        <v>342</v>
      </c>
      <c r="I127" s="190" t="s">
        <v>342</v>
      </c>
    </row>
    <row r="128" spans="1:9" x14ac:dyDescent="0.25">
      <c r="A128" s="191" t="s">
        <v>154</v>
      </c>
      <c r="B128" s="187">
        <v>6041</v>
      </c>
      <c r="C128" s="188">
        <v>48.89</v>
      </c>
      <c r="D128" s="188">
        <f t="shared" si="18"/>
        <v>0</v>
      </c>
      <c r="E128" s="189">
        <f t="shared" si="18"/>
        <v>0</v>
      </c>
      <c r="F128" s="190" t="s">
        <v>342</v>
      </c>
      <c r="G128" s="190" t="s">
        <v>342</v>
      </c>
      <c r="H128" s="190" t="s">
        <v>342</v>
      </c>
      <c r="I128" s="190" t="s">
        <v>342</v>
      </c>
    </row>
    <row r="129" spans="1:9" x14ac:dyDescent="0.25">
      <c r="A129" s="191" t="s">
        <v>159</v>
      </c>
      <c r="B129" s="187">
        <v>6044</v>
      </c>
      <c r="C129" s="188">
        <v>1961.97</v>
      </c>
      <c r="D129" s="188">
        <f t="shared" si="18"/>
        <v>0</v>
      </c>
      <c r="E129" s="189">
        <f t="shared" si="18"/>
        <v>0</v>
      </c>
      <c r="F129" s="190" t="s">
        <v>342</v>
      </c>
      <c r="G129" s="190" t="s">
        <v>342</v>
      </c>
      <c r="H129" s="190" t="s">
        <v>342</v>
      </c>
      <c r="I129" s="190" t="s">
        <v>342</v>
      </c>
    </row>
    <row r="130" spans="1:9" x14ac:dyDescent="0.25">
      <c r="A130" s="191" t="s">
        <v>160</v>
      </c>
      <c r="B130" s="187">
        <v>6046</v>
      </c>
      <c r="C130" s="188">
        <v>1981.68</v>
      </c>
      <c r="D130" s="188">
        <f t="shared" si="18"/>
        <v>0</v>
      </c>
      <c r="E130" s="189">
        <f t="shared" si="18"/>
        <v>0</v>
      </c>
      <c r="F130" s="190" t="s">
        <v>342</v>
      </c>
      <c r="G130" s="190" t="s">
        <v>342</v>
      </c>
      <c r="H130" s="190" t="s">
        <v>342</v>
      </c>
      <c r="I130" s="190" t="s">
        <v>342</v>
      </c>
    </row>
    <row r="131" spans="1:9" x14ac:dyDescent="0.25">
      <c r="A131" s="191" t="s">
        <v>349</v>
      </c>
      <c r="B131" s="187">
        <v>6047</v>
      </c>
      <c r="C131" s="188">
        <v>907.32</v>
      </c>
      <c r="D131" s="188">
        <f t="shared" si="18"/>
        <v>0</v>
      </c>
      <c r="E131" s="189">
        <f t="shared" si="18"/>
        <v>0</v>
      </c>
      <c r="F131" s="190" t="s">
        <v>342</v>
      </c>
      <c r="G131" s="190" t="s">
        <v>342</v>
      </c>
      <c r="H131" s="190" t="s">
        <v>342</v>
      </c>
      <c r="I131" s="190" t="s">
        <v>342</v>
      </c>
    </row>
    <row r="132" spans="1:9" x14ac:dyDescent="0.25">
      <c r="A132" s="191" t="s">
        <v>162</v>
      </c>
      <c r="B132" s="187">
        <v>6048</v>
      </c>
      <c r="C132" s="188">
        <v>113.76</v>
      </c>
      <c r="D132" s="188">
        <f t="shared" si="18"/>
        <v>0</v>
      </c>
      <c r="E132" s="189">
        <f t="shared" si="18"/>
        <v>0</v>
      </c>
      <c r="F132" s="190" t="s">
        <v>342</v>
      </c>
      <c r="G132" s="190" t="s">
        <v>342</v>
      </c>
      <c r="H132" s="190" t="s">
        <v>342</v>
      </c>
      <c r="I132" s="190" t="s">
        <v>342</v>
      </c>
    </row>
    <row r="133" spans="1:9" x14ac:dyDescent="0.25">
      <c r="A133" s="191" t="s">
        <v>163</v>
      </c>
      <c r="B133" s="187">
        <v>6049</v>
      </c>
      <c r="C133" s="188">
        <v>597.67999999999995</v>
      </c>
      <c r="D133" s="188">
        <f t="shared" si="18"/>
        <v>0</v>
      </c>
      <c r="E133" s="189">
        <f t="shared" si="18"/>
        <v>0</v>
      </c>
      <c r="F133" s="190" t="s">
        <v>342</v>
      </c>
      <c r="G133" s="190" t="s">
        <v>342</v>
      </c>
      <c r="H133" s="190" t="s">
        <v>342</v>
      </c>
      <c r="I133" s="190" t="s">
        <v>342</v>
      </c>
    </row>
    <row r="134" spans="1:9" x14ac:dyDescent="0.25">
      <c r="A134" s="204"/>
      <c r="C134" s="205"/>
      <c r="D134" s="206"/>
      <c r="E134" s="207"/>
      <c r="F134" s="206"/>
      <c r="G134" s="206"/>
      <c r="H134" s="206"/>
      <c r="I134" s="206"/>
    </row>
    <row r="135" spans="1:9" x14ac:dyDescent="0.25">
      <c r="A135" s="208" t="s">
        <v>392</v>
      </c>
      <c r="B135" s="209"/>
      <c r="C135" s="243" t="s">
        <v>353</v>
      </c>
      <c r="D135" s="243"/>
      <c r="E135" s="243"/>
      <c r="F135" s="210"/>
      <c r="G135" s="244" t="s">
        <v>354</v>
      </c>
      <c r="H135" s="244"/>
      <c r="I135" s="244"/>
    </row>
    <row r="136" spans="1:9" x14ac:dyDescent="0.25">
      <c r="A136" s="157" t="s">
        <v>355</v>
      </c>
      <c r="B136" s="155"/>
      <c r="C136" s="245" t="s">
        <v>356</v>
      </c>
      <c r="D136" s="245"/>
      <c r="E136" s="245"/>
      <c r="F136" s="157"/>
      <c r="G136" s="246" t="s">
        <v>357</v>
      </c>
      <c r="H136" s="246"/>
      <c r="I136" s="246"/>
    </row>
    <row r="137" spans="1:9" x14ac:dyDescent="0.25">
      <c r="A137" s="204"/>
      <c r="C137" s="205"/>
      <c r="D137" s="206"/>
      <c r="E137" s="207"/>
      <c r="F137" s="206"/>
      <c r="G137" s="206"/>
      <c r="H137" s="206"/>
      <c r="I137" s="206"/>
    </row>
    <row r="138" spans="1:9" x14ac:dyDescent="0.25">
      <c r="A138" s="204"/>
      <c r="C138" s="205"/>
      <c r="D138" s="206"/>
      <c r="E138" s="207"/>
      <c r="F138" s="206"/>
      <c r="G138" s="206"/>
      <c r="H138" s="206"/>
      <c r="I138" s="206"/>
    </row>
    <row r="139" spans="1:9" x14ac:dyDescent="0.25">
      <c r="A139" s="204"/>
      <c r="C139" s="205"/>
      <c r="D139" s="206"/>
      <c r="E139" s="207"/>
      <c r="F139" s="206"/>
      <c r="G139" s="206"/>
      <c r="H139" s="206"/>
      <c r="I139" s="206"/>
    </row>
    <row r="140" spans="1:9" x14ac:dyDescent="0.25">
      <c r="A140" s="204"/>
      <c r="C140" s="205"/>
      <c r="D140" s="206"/>
      <c r="E140" s="207"/>
      <c r="F140" s="206"/>
      <c r="G140" s="206"/>
      <c r="H140" s="206"/>
      <c r="I140" s="206"/>
    </row>
    <row r="141" spans="1:9" x14ac:dyDescent="0.25">
      <c r="A141" s="204"/>
      <c r="C141" s="205"/>
      <c r="D141" s="206"/>
      <c r="E141" s="207"/>
      <c r="F141" s="206"/>
      <c r="G141" s="206"/>
      <c r="H141" s="206"/>
      <c r="I141" s="206"/>
    </row>
    <row r="142" spans="1:9" x14ac:dyDescent="0.25">
      <c r="A142" s="204"/>
      <c r="C142" s="205"/>
      <c r="D142" s="206"/>
      <c r="E142" s="207"/>
      <c r="F142" s="206"/>
      <c r="G142" s="206"/>
      <c r="H142" s="206"/>
      <c r="I142" s="206"/>
    </row>
    <row r="143" spans="1:9" x14ac:dyDescent="0.25">
      <c r="A143" s="204"/>
      <c r="C143" s="205"/>
      <c r="D143" s="206"/>
      <c r="E143" s="207"/>
      <c r="F143" s="206"/>
      <c r="G143" s="206"/>
      <c r="H143" s="206"/>
      <c r="I143" s="206"/>
    </row>
    <row r="144" spans="1:9" x14ac:dyDescent="0.25">
      <c r="A144" s="204"/>
      <c r="C144" s="205"/>
      <c r="D144" s="206"/>
      <c r="E144" s="207"/>
      <c r="F144" s="206"/>
      <c r="G144" s="206"/>
      <c r="H144" s="206"/>
      <c r="I144" s="206"/>
    </row>
    <row r="145" spans="1:9" x14ac:dyDescent="0.25">
      <c r="A145" s="204"/>
      <c r="C145" s="205"/>
      <c r="D145" s="206"/>
      <c r="E145" s="207"/>
      <c r="F145" s="206"/>
      <c r="G145" s="206"/>
      <c r="H145" s="206"/>
      <c r="I145" s="206"/>
    </row>
    <row r="146" spans="1:9" x14ac:dyDescent="0.25">
      <c r="A146" s="204"/>
      <c r="C146" s="205"/>
      <c r="D146" s="206"/>
      <c r="E146" s="207"/>
      <c r="F146" s="206"/>
      <c r="G146" s="206"/>
      <c r="H146" s="206"/>
      <c r="I146" s="206"/>
    </row>
    <row r="147" spans="1:9" x14ac:dyDescent="0.25">
      <c r="A147" s="204"/>
      <c r="C147" s="205"/>
      <c r="D147" s="206"/>
      <c r="E147" s="207"/>
      <c r="F147" s="206"/>
      <c r="G147" s="206"/>
      <c r="H147" s="206"/>
      <c r="I147" s="206"/>
    </row>
    <row r="148" spans="1:9" x14ac:dyDescent="0.25">
      <c r="A148" s="204"/>
      <c r="C148" s="205"/>
      <c r="D148" s="206"/>
      <c r="E148" s="207"/>
      <c r="F148" s="206"/>
      <c r="G148" s="206"/>
      <c r="H148" s="206"/>
      <c r="I148" s="206"/>
    </row>
    <row r="149" spans="1:9" x14ac:dyDescent="0.25">
      <c r="A149" s="204"/>
      <c r="C149" s="205"/>
      <c r="D149" s="206"/>
      <c r="E149" s="207"/>
      <c r="F149" s="206"/>
      <c r="G149" s="206"/>
      <c r="H149" s="206"/>
      <c r="I149" s="206"/>
    </row>
    <row r="150" spans="1:9" x14ac:dyDescent="0.25">
      <c r="A150" s="204"/>
      <c r="C150" s="205"/>
      <c r="D150" s="206"/>
      <c r="E150" s="207"/>
      <c r="F150" s="206"/>
      <c r="G150" s="206"/>
      <c r="H150" s="206"/>
      <c r="I150" s="206"/>
    </row>
    <row r="151" spans="1:9" x14ac:dyDescent="0.25">
      <c r="A151" s="204"/>
      <c r="C151" s="205"/>
      <c r="D151" s="206"/>
      <c r="E151" s="207"/>
      <c r="F151" s="206"/>
      <c r="G151" s="206"/>
      <c r="H151" s="206"/>
      <c r="I151" s="206"/>
    </row>
    <row r="152" spans="1:9" x14ac:dyDescent="0.25">
      <c r="A152" s="204"/>
      <c r="C152" s="205"/>
      <c r="D152" s="206"/>
      <c r="E152" s="207"/>
      <c r="F152" s="206"/>
      <c r="G152" s="206"/>
      <c r="H152" s="206"/>
      <c r="I152" s="206"/>
    </row>
    <row r="153" spans="1:9" x14ac:dyDescent="0.25">
      <c r="A153" s="204"/>
      <c r="C153" s="205"/>
      <c r="D153" s="206"/>
      <c r="E153" s="207"/>
      <c r="F153" s="206"/>
      <c r="G153" s="206"/>
      <c r="H153" s="206"/>
      <c r="I153" s="206"/>
    </row>
    <row r="154" spans="1:9" x14ac:dyDescent="0.25">
      <c r="A154" s="204"/>
      <c r="C154" s="205"/>
      <c r="D154" s="206"/>
      <c r="E154" s="207"/>
      <c r="F154" s="206"/>
      <c r="G154" s="206"/>
      <c r="H154" s="206"/>
      <c r="I154" s="206"/>
    </row>
    <row r="155" spans="1:9" x14ac:dyDescent="0.25">
      <c r="A155" s="204"/>
      <c r="C155" s="205"/>
      <c r="D155" s="206"/>
      <c r="E155" s="207"/>
      <c r="F155" s="206"/>
      <c r="G155" s="206"/>
      <c r="H155" s="206"/>
      <c r="I155" s="206"/>
    </row>
    <row r="156" spans="1:9" x14ac:dyDescent="0.25">
      <c r="A156" s="204"/>
      <c r="C156" s="205"/>
      <c r="D156" s="206"/>
      <c r="E156" s="207"/>
      <c r="F156" s="206"/>
      <c r="G156" s="206"/>
      <c r="H156" s="206"/>
      <c r="I156" s="206"/>
    </row>
    <row r="157" spans="1:9" x14ac:dyDescent="0.25">
      <c r="A157" s="204"/>
      <c r="C157" s="205"/>
      <c r="D157" s="206"/>
      <c r="E157" s="207"/>
      <c r="F157" s="206"/>
      <c r="G157" s="206"/>
      <c r="H157" s="206"/>
      <c r="I157" s="206"/>
    </row>
    <row r="158" spans="1:9" x14ac:dyDescent="0.25">
      <c r="A158" s="204"/>
      <c r="C158" s="205"/>
      <c r="D158" s="206"/>
      <c r="E158" s="207"/>
      <c r="F158" s="206"/>
      <c r="G158" s="206"/>
      <c r="H158" s="206"/>
      <c r="I158" s="206"/>
    </row>
    <row r="159" spans="1:9" x14ac:dyDescent="0.25">
      <c r="A159" s="204"/>
      <c r="C159" s="205"/>
      <c r="D159" s="206"/>
      <c r="E159" s="207"/>
      <c r="F159" s="206"/>
      <c r="G159" s="206"/>
      <c r="H159" s="206"/>
      <c r="I159" s="206"/>
    </row>
    <row r="160" spans="1:9" x14ac:dyDescent="0.25">
      <c r="A160" s="204"/>
      <c r="C160" s="205"/>
      <c r="D160" s="206"/>
      <c r="E160" s="207"/>
      <c r="F160" s="206"/>
      <c r="G160" s="206"/>
      <c r="H160" s="206"/>
      <c r="I160" s="206"/>
    </row>
    <row r="161" spans="1:9" x14ac:dyDescent="0.25">
      <c r="A161" s="204"/>
      <c r="C161" s="205"/>
      <c r="D161" s="206"/>
      <c r="E161" s="207"/>
      <c r="F161" s="206"/>
      <c r="G161" s="206"/>
      <c r="H161" s="206"/>
      <c r="I161" s="206"/>
    </row>
    <row r="162" spans="1:9" x14ac:dyDescent="0.25">
      <c r="A162" s="204"/>
      <c r="C162" s="205"/>
      <c r="D162" s="206"/>
      <c r="E162" s="207"/>
      <c r="F162" s="206"/>
      <c r="G162" s="206"/>
      <c r="H162" s="206"/>
      <c r="I162" s="206"/>
    </row>
    <row r="163" spans="1:9" x14ac:dyDescent="0.25">
      <c r="A163" s="204"/>
      <c r="C163" s="205"/>
      <c r="D163" s="206"/>
      <c r="E163" s="207"/>
      <c r="F163" s="206"/>
      <c r="G163" s="206"/>
      <c r="H163" s="206"/>
      <c r="I163" s="206"/>
    </row>
    <row r="164" spans="1:9" x14ac:dyDescent="0.25">
      <c r="A164" s="204"/>
      <c r="C164" s="205"/>
      <c r="D164" s="206"/>
      <c r="E164" s="207"/>
      <c r="F164" s="206"/>
      <c r="G164" s="206"/>
      <c r="H164" s="206"/>
      <c r="I164" s="206"/>
    </row>
    <row r="165" spans="1:9" x14ac:dyDescent="0.25">
      <c r="A165" s="204"/>
      <c r="C165" s="205"/>
      <c r="D165" s="206"/>
      <c r="E165" s="207"/>
      <c r="F165" s="206"/>
      <c r="G165" s="206"/>
      <c r="H165" s="206"/>
      <c r="I165" s="206"/>
    </row>
    <row r="166" spans="1:9" x14ac:dyDescent="0.25">
      <c r="A166" s="204"/>
      <c r="C166" s="205"/>
      <c r="D166" s="206"/>
      <c r="E166" s="207"/>
      <c r="F166" s="206"/>
      <c r="G166" s="206"/>
      <c r="H166" s="206"/>
      <c r="I166" s="206"/>
    </row>
    <row r="167" spans="1:9" x14ac:dyDescent="0.25">
      <c r="A167" s="204"/>
      <c r="C167" s="205"/>
      <c r="D167" s="206"/>
      <c r="E167" s="207"/>
      <c r="F167" s="206"/>
      <c r="G167" s="206"/>
      <c r="H167" s="206"/>
      <c r="I167" s="206"/>
    </row>
    <row r="168" spans="1:9" x14ac:dyDescent="0.25">
      <c r="A168" s="204"/>
      <c r="C168" s="205"/>
      <c r="D168" s="206"/>
      <c r="E168" s="207"/>
      <c r="F168" s="206"/>
      <c r="G168" s="206"/>
      <c r="H168" s="206"/>
      <c r="I168" s="206"/>
    </row>
    <row r="169" spans="1:9" x14ac:dyDescent="0.25">
      <c r="A169" s="204"/>
      <c r="C169" s="205"/>
      <c r="D169" s="206"/>
      <c r="E169" s="207"/>
      <c r="F169" s="206"/>
      <c r="G169" s="206"/>
      <c r="H169" s="206"/>
      <c r="I169" s="206"/>
    </row>
    <row r="170" spans="1:9" x14ac:dyDescent="0.25">
      <c r="A170" s="204"/>
      <c r="C170" s="205"/>
      <c r="D170" s="206"/>
      <c r="E170" s="207"/>
      <c r="F170" s="206"/>
      <c r="G170" s="206"/>
      <c r="H170" s="206"/>
      <c r="I170" s="206"/>
    </row>
    <row r="171" spans="1:9" x14ac:dyDescent="0.25">
      <c r="A171" s="204"/>
      <c r="C171" s="205"/>
      <c r="D171" s="206"/>
      <c r="E171" s="207"/>
      <c r="F171" s="206"/>
      <c r="G171" s="206"/>
      <c r="H171" s="206"/>
      <c r="I171" s="206"/>
    </row>
    <row r="172" spans="1:9" x14ac:dyDescent="0.25">
      <c r="A172" s="204"/>
      <c r="C172" s="205"/>
      <c r="D172" s="206"/>
      <c r="E172" s="207"/>
      <c r="F172" s="206"/>
      <c r="G172" s="206"/>
      <c r="H172" s="206"/>
      <c r="I172" s="206"/>
    </row>
    <row r="173" spans="1:9" x14ac:dyDescent="0.25">
      <c r="A173" s="204"/>
      <c r="C173" s="205"/>
      <c r="D173" s="206"/>
      <c r="E173" s="207"/>
      <c r="F173" s="206"/>
      <c r="G173" s="206"/>
      <c r="H173" s="206"/>
      <c r="I173" s="206"/>
    </row>
    <row r="174" spans="1:9" x14ac:dyDescent="0.25">
      <c r="A174" s="204"/>
      <c r="C174" s="205"/>
      <c r="D174" s="206"/>
      <c r="E174" s="207"/>
      <c r="F174" s="206"/>
      <c r="G174" s="206"/>
      <c r="H174" s="206"/>
      <c r="I174" s="206"/>
    </row>
    <row r="175" spans="1:9" x14ac:dyDescent="0.25">
      <c r="A175" s="204"/>
      <c r="C175" s="205"/>
      <c r="D175" s="206"/>
      <c r="E175" s="207"/>
      <c r="F175" s="206"/>
      <c r="G175" s="206"/>
      <c r="H175" s="206"/>
      <c r="I175" s="206"/>
    </row>
    <row r="176" spans="1:9" x14ac:dyDescent="0.25">
      <c r="A176" s="204"/>
      <c r="C176" s="205"/>
      <c r="D176" s="206"/>
      <c r="E176" s="207"/>
      <c r="F176" s="206"/>
      <c r="G176" s="206"/>
      <c r="H176" s="206"/>
      <c r="I176" s="206"/>
    </row>
    <row r="177" spans="1:9" x14ac:dyDescent="0.25">
      <c r="A177" s="204"/>
      <c r="C177" s="205"/>
      <c r="D177" s="206"/>
      <c r="E177" s="207"/>
      <c r="F177" s="206"/>
      <c r="G177" s="206"/>
      <c r="H177" s="206"/>
      <c r="I177" s="206"/>
    </row>
    <row r="178" spans="1:9" x14ac:dyDescent="0.25">
      <c r="A178" s="211"/>
    </row>
    <row r="179" spans="1:9" x14ac:dyDescent="0.25">
      <c r="A179" s="211"/>
    </row>
    <row r="180" spans="1:9" x14ac:dyDescent="0.25">
      <c r="A180" s="211"/>
    </row>
    <row r="181" spans="1:9" x14ac:dyDescent="0.25">
      <c r="A181" s="211"/>
    </row>
    <row r="182" spans="1:9" x14ac:dyDescent="0.25">
      <c r="A182" s="211"/>
    </row>
    <row r="183" spans="1:9" x14ac:dyDescent="0.25">
      <c r="A183" s="211"/>
    </row>
    <row r="184" spans="1:9" x14ac:dyDescent="0.25">
      <c r="A184" s="211"/>
    </row>
    <row r="185" spans="1:9" x14ac:dyDescent="0.25">
      <c r="A185" s="211"/>
    </row>
    <row r="186" spans="1:9" s="163" customFormat="1" x14ac:dyDescent="0.25">
      <c r="A186" s="211"/>
      <c r="E186" s="212"/>
    </row>
    <row r="187" spans="1:9" s="163" customFormat="1" x14ac:dyDescent="0.25">
      <c r="A187" s="211"/>
      <c r="E187" s="212"/>
    </row>
    <row r="188" spans="1:9" s="163" customFormat="1" x14ac:dyDescent="0.25">
      <c r="A188" s="211"/>
      <c r="E188" s="212"/>
    </row>
    <row r="189" spans="1:9" s="163" customFormat="1" x14ac:dyDescent="0.25">
      <c r="A189" s="211"/>
      <c r="E189" s="212"/>
    </row>
    <row r="190" spans="1:9" s="163" customFormat="1" x14ac:dyDescent="0.25">
      <c r="A190" s="211"/>
      <c r="E190" s="212"/>
    </row>
    <row r="191" spans="1:9" s="163" customFormat="1" x14ac:dyDescent="0.25">
      <c r="A191" s="211"/>
      <c r="E191" s="212"/>
    </row>
    <row r="192" spans="1:9" s="163" customFormat="1" x14ac:dyDescent="0.25">
      <c r="A192" s="211"/>
      <c r="E192" s="212"/>
    </row>
    <row r="193" spans="1:5" s="163" customFormat="1" x14ac:dyDescent="0.25">
      <c r="A193" s="211"/>
      <c r="E193" s="212"/>
    </row>
    <row r="194" spans="1:5" s="163" customFormat="1" x14ac:dyDescent="0.25">
      <c r="A194" s="211"/>
      <c r="E194" s="212"/>
    </row>
    <row r="195" spans="1:5" s="163" customFormat="1" x14ac:dyDescent="0.25">
      <c r="A195" s="211"/>
      <c r="E195" s="212"/>
    </row>
    <row r="196" spans="1:5" s="163" customFormat="1" x14ac:dyDescent="0.25">
      <c r="A196" s="211"/>
      <c r="E196" s="212"/>
    </row>
    <row r="197" spans="1:5" s="163" customFormat="1" x14ac:dyDescent="0.25">
      <c r="A197" s="211"/>
      <c r="E197" s="212"/>
    </row>
    <row r="198" spans="1:5" s="163" customFormat="1" x14ac:dyDescent="0.25">
      <c r="A198" s="211"/>
      <c r="E198" s="212"/>
    </row>
    <row r="199" spans="1:5" s="163" customFormat="1" x14ac:dyDescent="0.25">
      <c r="A199" s="211"/>
      <c r="E199" s="212"/>
    </row>
    <row r="200" spans="1:5" s="163" customFormat="1" x14ac:dyDescent="0.25">
      <c r="A200" s="211"/>
      <c r="E200" s="212"/>
    </row>
    <row r="201" spans="1:5" s="163" customFormat="1" x14ac:dyDescent="0.25">
      <c r="A201" s="211"/>
      <c r="E201" s="212"/>
    </row>
    <row r="202" spans="1:5" s="163" customFormat="1" x14ac:dyDescent="0.25">
      <c r="A202" s="211"/>
      <c r="E202" s="212"/>
    </row>
    <row r="203" spans="1:5" s="163" customFormat="1" x14ac:dyDescent="0.25">
      <c r="A203" s="211"/>
      <c r="E203" s="212"/>
    </row>
    <row r="204" spans="1:5" s="163" customFormat="1" x14ac:dyDescent="0.25">
      <c r="A204" s="211"/>
      <c r="E204" s="212"/>
    </row>
    <row r="205" spans="1:5" s="163" customFormat="1" x14ac:dyDescent="0.25">
      <c r="A205" s="211"/>
      <c r="E205" s="212"/>
    </row>
    <row r="206" spans="1:5" s="163" customFormat="1" x14ac:dyDescent="0.25">
      <c r="A206" s="211"/>
      <c r="E206" s="212"/>
    </row>
    <row r="207" spans="1:5" s="163" customFormat="1" x14ac:dyDescent="0.25">
      <c r="A207" s="211"/>
      <c r="E207" s="212"/>
    </row>
    <row r="208" spans="1:5" s="163" customFormat="1" x14ac:dyDescent="0.25">
      <c r="A208" s="211"/>
      <c r="E208" s="212"/>
    </row>
    <row r="209" spans="1:5" s="163" customFormat="1" x14ac:dyDescent="0.25">
      <c r="A209" s="211"/>
      <c r="E209" s="212"/>
    </row>
    <row r="210" spans="1:5" s="163" customFormat="1" x14ac:dyDescent="0.25">
      <c r="A210" s="211"/>
      <c r="E210" s="212"/>
    </row>
    <row r="211" spans="1:5" s="163" customFormat="1" x14ac:dyDescent="0.25">
      <c r="A211" s="211"/>
      <c r="E211" s="212"/>
    </row>
    <row r="212" spans="1:5" s="163" customFormat="1" x14ac:dyDescent="0.25">
      <c r="A212" s="211"/>
      <c r="E212" s="212"/>
    </row>
    <row r="213" spans="1:5" s="163" customFormat="1" x14ac:dyDescent="0.25">
      <c r="A213" s="211"/>
      <c r="E213" s="212"/>
    </row>
    <row r="214" spans="1:5" s="163" customFormat="1" x14ac:dyDescent="0.25">
      <c r="A214" s="211"/>
      <c r="E214" s="212"/>
    </row>
    <row r="215" spans="1:5" s="163" customFormat="1" x14ac:dyDescent="0.25">
      <c r="A215" s="211"/>
      <c r="E215" s="212"/>
    </row>
    <row r="216" spans="1:5" s="163" customFormat="1" x14ac:dyDescent="0.25">
      <c r="A216" s="211"/>
      <c r="E216" s="212"/>
    </row>
    <row r="217" spans="1:5" s="163" customFormat="1" x14ac:dyDescent="0.25">
      <c r="A217" s="211"/>
      <c r="E217" s="212"/>
    </row>
    <row r="218" spans="1:5" s="163" customFormat="1" x14ac:dyDescent="0.25">
      <c r="A218" s="211"/>
      <c r="E218" s="212"/>
    </row>
    <row r="219" spans="1:5" s="163" customFormat="1" x14ac:dyDescent="0.25">
      <c r="A219" s="211"/>
      <c r="E219" s="212"/>
    </row>
    <row r="220" spans="1:5" s="163" customFormat="1" x14ac:dyDescent="0.25">
      <c r="A220" s="211"/>
      <c r="E220" s="212"/>
    </row>
    <row r="221" spans="1:5" s="163" customFormat="1" x14ac:dyDescent="0.25">
      <c r="A221" s="211"/>
      <c r="E221" s="212"/>
    </row>
    <row r="222" spans="1:5" s="163" customFormat="1" x14ac:dyDescent="0.25">
      <c r="A222" s="211"/>
      <c r="E222" s="212"/>
    </row>
    <row r="223" spans="1:5" s="163" customFormat="1" x14ac:dyDescent="0.25">
      <c r="A223" s="211"/>
      <c r="E223" s="212"/>
    </row>
    <row r="224" spans="1:5" s="163" customFormat="1" x14ac:dyDescent="0.25">
      <c r="A224" s="211"/>
      <c r="E224" s="212"/>
    </row>
    <row r="225" spans="1:5" s="163" customFormat="1" x14ac:dyDescent="0.25">
      <c r="A225" s="211"/>
      <c r="E225" s="212"/>
    </row>
    <row r="226" spans="1:5" s="163" customFormat="1" x14ac:dyDescent="0.25">
      <c r="A226" s="211"/>
      <c r="E226" s="212"/>
    </row>
    <row r="227" spans="1:5" s="163" customFormat="1" x14ac:dyDescent="0.25">
      <c r="A227" s="211"/>
      <c r="E227" s="212"/>
    </row>
    <row r="228" spans="1:5" s="163" customFormat="1" x14ac:dyDescent="0.25">
      <c r="A228" s="211"/>
      <c r="E228" s="212"/>
    </row>
    <row r="229" spans="1:5" s="163" customFormat="1" x14ac:dyDescent="0.25">
      <c r="A229" s="211"/>
      <c r="E229" s="212"/>
    </row>
    <row r="230" spans="1:5" s="163" customFormat="1" x14ac:dyDescent="0.25">
      <c r="A230" s="211"/>
      <c r="E230" s="212"/>
    </row>
    <row r="231" spans="1:5" s="163" customFormat="1" x14ac:dyDescent="0.25">
      <c r="A231" s="211"/>
      <c r="E231" s="212"/>
    </row>
    <row r="232" spans="1:5" s="163" customFormat="1" x14ac:dyDescent="0.25">
      <c r="A232" s="211"/>
      <c r="E232" s="212"/>
    </row>
    <row r="233" spans="1:5" s="163" customFormat="1" x14ac:dyDescent="0.25">
      <c r="A233" s="211"/>
      <c r="E233" s="212"/>
    </row>
    <row r="234" spans="1:5" s="163" customFormat="1" x14ac:dyDescent="0.25">
      <c r="A234" s="211"/>
      <c r="E234" s="212"/>
    </row>
    <row r="235" spans="1:5" s="163" customFormat="1" x14ac:dyDescent="0.25">
      <c r="A235" s="211"/>
      <c r="E235" s="212"/>
    </row>
    <row r="236" spans="1:5" s="163" customFormat="1" x14ac:dyDescent="0.25">
      <c r="A236" s="211"/>
      <c r="E236" s="212"/>
    </row>
    <row r="237" spans="1:5" s="163" customFormat="1" x14ac:dyDescent="0.25">
      <c r="A237" s="211"/>
      <c r="E237" s="212"/>
    </row>
    <row r="238" spans="1:5" s="163" customFormat="1" x14ac:dyDescent="0.25">
      <c r="A238" s="211"/>
      <c r="E238" s="212"/>
    </row>
    <row r="239" spans="1:5" s="163" customFormat="1" x14ac:dyDescent="0.25">
      <c r="A239" s="211"/>
      <c r="E239" s="212"/>
    </row>
    <row r="240" spans="1:5" s="163" customFormat="1" x14ac:dyDescent="0.25">
      <c r="A240" s="211"/>
      <c r="E240" s="212"/>
    </row>
    <row r="241" spans="1:5" s="163" customFormat="1" x14ac:dyDescent="0.25">
      <c r="A241" s="211"/>
      <c r="E241" s="212"/>
    </row>
    <row r="242" spans="1:5" s="163" customFormat="1" x14ac:dyDescent="0.25">
      <c r="A242" s="211"/>
      <c r="E242" s="212"/>
    </row>
    <row r="243" spans="1:5" s="163" customFormat="1" x14ac:dyDescent="0.25">
      <c r="A243" s="211"/>
      <c r="E243" s="212"/>
    </row>
    <row r="244" spans="1:5" s="163" customFormat="1" x14ac:dyDescent="0.25">
      <c r="A244" s="211"/>
      <c r="E244" s="212"/>
    </row>
    <row r="245" spans="1:5" s="163" customFormat="1" x14ac:dyDescent="0.25">
      <c r="A245" s="211"/>
      <c r="E245" s="212"/>
    </row>
    <row r="246" spans="1:5" s="163" customFormat="1" x14ac:dyDescent="0.25">
      <c r="A246" s="211"/>
      <c r="E246" s="212"/>
    </row>
    <row r="247" spans="1:5" s="163" customFormat="1" x14ac:dyDescent="0.25">
      <c r="A247" s="211"/>
      <c r="E247" s="212"/>
    </row>
    <row r="248" spans="1:5" s="163" customFormat="1" x14ac:dyDescent="0.25">
      <c r="A248" s="211"/>
      <c r="E248" s="212"/>
    </row>
    <row r="249" spans="1:5" s="163" customFormat="1" x14ac:dyDescent="0.25">
      <c r="A249" s="211"/>
      <c r="E249" s="212"/>
    </row>
    <row r="250" spans="1:5" s="163" customFormat="1" x14ac:dyDescent="0.25">
      <c r="A250" s="211"/>
      <c r="E250" s="212"/>
    </row>
    <row r="251" spans="1:5" s="163" customFormat="1" x14ac:dyDescent="0.25">
      <c r="A251" s="211"/>
      <c r="E251" s="212"/>
    </row>
    <row r="252" spans="1:5" s="163" customFormat="1" x14ac:dyDescent="0.25">
      <c r="A252" s="211"/>
      <c r="E252" s="212"/>
    </row>
    <row r="253" spans="1:5" s="163" customFormat="1" x14ac:dyDescent="0.25">
      <c r="A253" s="211"/>
      <c r="E253" s="212"/>
    </row>
    <row r="254" spans="1:5" s="163" customFormat="1" x14ac:dyDescent="0.25">
      <c r="A254" s="211"/>
      <c r="E254" s="212"/>
    </row>
    <row r="255" spans="1:5" s="163" customFormat="1" x14ac:dyDescent="0.25">
      <c r="A255" s="211"/>
      <c r="E255" s="212"/>
    </row>
    <row r="256" spans="1:5" s="163" customFormat="1" x14ac:dyDescent="0.25">
      <c r="A256" s="211"/>
      <c r="E256" s="212"/>
    </row>
    <row r="257" spans="1:5" s="163" customFormat="1" x14ac:dyDescent="0.25">
      <c r="A257" s="211"/>
      <c r="E257" s="212"/>
    </row>
    <row r="258" spans="1:5" s="163" customFormat="1" x14ac:dyDescent="0.25">
      <c r="A258" s="211"/>
      <c r="E258" s="212"/>
    </row>
    <row r="259" spans="1:5" s="163" customFormat="1" x14ac:dyDescent="0.25">
      <c r="A259" s="211"/>
      <c r="E259" s="212"/>
    </row>
    <row r="260" spans="1:5" s="163" customFormat="1" x14ac:dyDescent="0.25">
      <c r="A260" s="211"/>
      <c r="E260" s="212"/>
    </row>
    <row r="261" spans="1:5" s="163" customFormat="1" x14ac:dyDescent="0.25">
      <c r="A261" s="211"/>
      <c r="E261" s="212"/>
    </row>
    <row r="262" spans="1:5" s="163" customFormat="1" x14ac:dyDescent="0.25">
      <c r="A262" s="211"/>
      <c r="E262" s="212"/>
    </row>
    <row r="263" spans="1:5" s="163" customFormat="1" x14ac:dyDescent="0.25">
      <c r="A263" s="211"/>
      <c r="E263" s="212"/>
    </row>
    <row r="264" spans="1:5" s="163" customFormat="1" x14ac:dyDescent="0.25">
      <c r="A264" s="211"/>
      <c r="E264" s="212"/>
    </row>
    <row r="265" spans="1:5" s="163" customFormat="1" x14ac:dyDescent="0.25">
      <c r="A265" s="211"/>
      <c r="E265" s="212"/>
    </row>
    <row r="266" spans="1:5" s="163" customFormat="1" x14ac:dyDescent="0.25">
      <c r="A266" s="211"/>
      <c r="E266" s="212"/>
    </row>
    <row r="267" spans="1:5" s="163" customFormat="1" x14ac:dyDescent="0.25">
      <c r="A267" s="211"/>
      <c r="E267" s="212"/>
    </row>
    <row r="268" spans="1:5" s="163" customFormat="1" x14ac:dyDescent="0.25">
      <c r="A268" s="211"/>
      <c r="E268" s="212"/>
    </row>
    <row r="269" spans="1:5" s="163" customFormat="1" x14ac:dyDescent="0.25">
      <c r="A269" s="211"/>
      <c r="E269" s="212"/>
    </row>
    <row r="270" spans="1:5" s="163" customFormat="1" x14ac:dyDescent="0.25">
      <c r="A270" s="211"/>
      <c r="E270" s="212"/>
    </row>
    <row r="271" spans="1:5" s="163" customFormat="1" x14ac:dyDescent="0.25">
      <c r="A271" s="211"/>
      <c r="E271" s="212"/>
    </row>
    <row r="272" spans="1:5" s="163" customFormat="1" x14ac:dyDescent="0.25">
      <c r="A272" s="211"/>
      <c r="E272" s="212"/>
    </row>
    <row r="273" spans="1:5" s="163" customFormat="1" x14ac:dyDescent="0.25">
      <c r="A273" s="211"/>
      <c r="E273" s="212"/>
    </row>
    <row r="274" spans="1:5" s="163" customFormat="1" x14ac:dyDescent="0.25">
      <c r="A274" s="211"/>
      <c r="E274" s="212"/>
    </row>
    <row r="275" spans="1:5" s="163" customFormat="1" x14ac:dyDescent="0.25">
      <c r="A275" s="211"/>
      <c r="E275" s="212"/>
    </row>
    <row r="276" spans="1:5" s="163" customFormat="1" x14ac:dyDescent="0.25">
      <c r="A276" s="211"/>
      <c r="E276" s="212"/>
    </row>
    <row r="277" spans="1:5" s="163" customFormat="1" x14ac:dyDescent="0.25">
      <c r="A277" s="211"/>
      <c r="E277" s="212"/>
    </row>
    <row r="278" spans="1:5" s="163" customFormat="1" x14ac:dyDescent="0.25">
      <c r="A278" s="211"/>
      <c r="E278" s="212"/>
    </row>
    <row r="279" spans="1:5" s="163" customFormat="1" x14ac:dyDescent="0.25">
      <c r="A279" s="211"/>
      <c r="E279" s="212"/>
    </row>
    <row r="280" spans="1:5" s="163" customFormat="1" x14ac:dyDescent="0.25">
      <c r="A280" s="211"/>
      <c r="E280" s="212"/>
    </row>
    <row r="281" spans="1:5" s="163" customFormat="1" x14ac:dyDescent="0.25">
      <c r="A281" s="211"/>
      <c r="E281" s="212"/>
    </row>
    <row r="282" spans="1:5" s="163" customFormat="1" x14ac:dyDescent="0.25">
      <c r="A282" s="211"/>
      <c r="E282" s="212"/>
    </row>
    <row r="283" spans="1:5" s="163" customFormat="1" x14ac:dyDescent="0.25">
      <c r="A283" s="211"/>
      <c r="E283" s="212"/>
    </row>
    <row r="284" spans="1:5" s="163" customFormat="1" x14ac:dyDescent="0.25">
      <c r="A284" s="211"/>
      <c r="E284" s="212"/>
    </row>
    <row r="285" spans="1:5" s="163" customFormat="1" x14ac:dyDescent="0.25">
      <c r="A285" s="211"/>
      <c r="E285" s="212"/>
    </row>
    <row r="286" spans="1:5" s="163" customFormat="1" x14ac:dyDescent="0.25">
      <c r="A286" s="211"/>
      <c r="E286" s="212"/>
    </row>
    <row r="287" spans="1:5" s="163" customFormat="1" x14ac:dyDescent="0.25">
      <c r="A287" s="211"/>
      <c r="E287" s="212"/>
    </row>
    <row r="288" spans="1:5" s="163" customFormat="1" x14ac:dyDescent="0.25">
      <c r="A288" s="211"/>
      <c r="E288" s="212"/>
    </row>
    <row r="289" spans="1:5" s="163" customFormat="1" x14ac:dyDescent="0.25">
      <c r="A289" s="211"/>
      <c r="E289" s="212"/>
    </row>
    <row r="290" spans="1:5" s="163" customFormat="1" x14ac:dyDescent="0.25">
      <c r="A290" s="211"/>
      <c r="E290" s="212"/>
    </row>
    <row r="291" spans="1:5" s="163" customFormat="1" x14ac:dyDescent="0.25">
      <c r="A291" s="211"/>
      <c r="E291" s="212"/>
    </row>
    <row r="292" spans="1:5" s="163" customFormat="1" x14ac:dyDescent="0.25">
      <c r="A292" s="211"/>
      <c r="E292" s="212"/>
    </row>
    <row r="293" spans="1:5" s="163" customFormat="1" x14ac:dyDescent="0.25">
      <c r="A293" s="211"/>
      <c r="E293" s="212"/>
    </row>
    <row r="294" spans="1:5" s="163" customFormat="1" x14ac:dyDescent="0.25">
      <c r="A294" s="211"/>
      <c r="E294" s="212"/>
    </row>
    <row r="295" spans="1:5" s="163" customFormat="1" x14ac:dyDescent="0.25">
      <c r="A295" s="211"/>
      <c r="E295" s="212"/>
    </row>
    <row r="296" spans="1:5" s="163" customFormat="1" x14ac:dyDescent="0.25">
      <c r="A296" s="211"/>
      <c r="E296" s="212"/>
    </row>
    <row r="297" spans="1:5" s="163" customFormat="1" x14ac:dyDescent="0.25">
      <c r="A297" s="211"/>
      <c r="E297" s="212"/>
    </row>
    <row r="298" spans="1:5" s="163" customFormat="1" x14ac:dyDescent="0.25">
      <c r="A298" s="211"/>
      <c r="E298" s="212"/>
    </row>
    <row r="299" spans="1:5" s="163" customFormat="1" x14ac:dyDescent="0.25">
      <c r="A299" s="211"/>
      <c r="E299" s="212"/>
    </row>
    <row r="300" spans="1:5" s="163" customFormat="1" x14ac:dyDescent="0.25">
      <c r="A300" s="211"/>
      <c r="E300" s="212"/>
    </row>
    <row r="301" spans="1:5" s="163" customFormat="1" x14ac:dyDescent="0.25">
      <c r="A301" s="211"/>
      <c r="E301" s="212"/>
    </row>
    <row r="302" spans="1:5" s="163" customFormat="1" x14ac:dyDescent="0.25">
      <c r="A302" s="211"/>
      <c r="E302" s="212"/>
    </row>
    <row r="303" spans="1:5" s="163" customFormat="1" x14ac:dyDescent="0.25">
      <c r="A303" s="211"/>
      <c r="E303" s="212"/>
    </row>
    <row r="304" spans="1:5" s="163" customFormat="1" x14ac:dyDescent="0.25">
      <c r="A304" s="211"/>
      <c r="E304" s="212"/>
    </row>
    <row r="305" spans="1:5" s="163" customFormat="1" x14ac:dyDescent="0.25">
      <c r="A305" s="211"/>
      <c r="E305" s="212"/>
    </row>
    <row r="306" spans="1:5" s="163" customFormat="1" x14ac:dyDescent="0.25">
      <c r="A306" s="211"/>
      <c r="E306" s="212"/>
    </row>
    <row r="307" spans="1:5" s="163" customFormat="1" x14ac:dyDescent="0.25">
      <c r="A307" s="211"/>
      <c r="E307" s="212"/>
    </row>
    <row r="308" spans="1:5" s="163" customFormat="1" x14ac:dyDescent="0.25">
      <c r="A308" s="211"/>
      <c r="E308" s="212"/>
    </row>
    <row r="309" spans="1:5" s="163" customFormat="1" x14ac:dyDescent="0.25">
      <c r="A309" s="211"/>
      <c r="E309" s="212"/>
    </row>
    <row r="310" spans="1:5" s="163" customFormat="1" x14ac:dyDescent="0.25">
      <c r="A310" s="211"/>
      <c r="E310" s="212"/>
    </row>
    <row r="311" spans="1:5" s="163" customFormat="1" x14ac:dyDescent="0.25">
      <c r="A311" s="211"/>
      <c r="E311" s="212"/>
    </row>
    <row r="312" spans="1:5" s="163" customFormat="1" x14ac:dyDescent="0.25">
      <c r="A312" s="211"/>
      <c r="E312" s="212"/>
    </row>
    <row r="313" spans="1:5" s="163" customFormat="1" x14ac:dyDescent="0.25">
      <c r="A313" s="211"/>
      <c r="E313" s="212"/>
    </row>
    <row r="314" spans="1:5" s="163" customFormat="1" x14ac:dyDescent="0.25">
      <c r="A314" s="211"/>
      <c r="E314" s="212"/>
    </row>
    <row r="315" spans="1:5" s="163" customFormat="1" x14ac:dyDescent="0.25">
      <c r="A315" s="211"/>
      <c r="E315" s="212"/>
    </row>
    <row r="316" spans="1:5" s="163" customFormat="1" x14ac:dyDescent="0.25">
      <c r="A316" s="211"/>
      <c r="E316" s="212"/>
    </row>
    <row r="317" spans="1:5" s="163" customFormat="1" x14ac:dyDescent="0.25">
      <c r="A317" s="211"/>
      <c r="E317" s="212"/>
    </row>
    <row r="318" spans="1:5" s="163" customFormat="1" x14ac:dyDescent="0.25">
      <c r="A318" s="211"/>
      <c r="E318" s="212"/>
    </row>
    <row r="319" spans="1:5" s="163" customFormat="1" x14ac:dyDescent="0.25">
      <c r="A319" s="211"/>
      <c r="E319" s="212"/>
    </row>
    <row r="320" spans="1:5" s="163" customFormat="1" x14ac:dyDescent="0.25">
      <c r="A320" s="211"/>
      <c r="E320" s="212"/>
    </row>
    <row r="321" spans="1:5" s="163" customFormat="1" x14ac:dyDescent="0.25">
      <c r="A321" s="211"/>
      <c r="E321" s="212"/>
    </row>
    <row r="322" spans="1:5" s="163" customFormat="1" x14ac:dyDescent="0.25">
      <c r="A322" s="211"/>
      <c r="E322" s="212"/>
    </row>
    <row r="323" spans="1:5" s="163" customFormat="1" x14ac:dyDescent="0.25">
      <c r="A323" s="211"/>
      <c r="E323" s="212"/>
    </row>
    <row r="324" spans="1:5" s="163" customFormat="1" x14ac:dyDescent="0.25">
      <c r="A324" s="211"/>
      <c r="E324" s="212"/>
    </row>
    <row r="325" spans="1:5" s="163" customFormat="1" x14ac:dyDescent="0.25">
      <c r="A325" s="211"/>
      <c r="E325" s="212"/>
    </row>
    <row r="326" spans="1:5" s="163" customFormat="1" x14ac:dyDescent="0.25">
      <c r="A326" s="211"/>
      <c r="E326" s="212"/>
    </row>
    <row r="327" spans="1:5" s="163" customFormat="1" x14ac:dyDescent="0.25">
      <c r="A327" s="211"/>
      <c r="E327" s="212"/>
    </row>
    <row r="328" spans="1:5" s="163" customFormat="1" x14ac:dyDescent="0.25">
      <c r="A328" s="211"/>
      <c r="E328" s="212"/>
    </row>
    <row r="329" spans="1:5" s="163" customFormat="1" x14ac:dyDescent="0.25">
      <c r="A329" s="211"/>
      <c r="E329" s="212"/>
    </row>
    <row r="330" spans="1:5" s="163" customFormat="1" x14ac:dyDescent="0.25">
      <c r="A330" s="211"/>
      <c r="E330" s="212"/>
    </row>
    <row r="331" spans="1:5" s="163" customFormat="1" x14ac:dyDescent="0.25">
      <c r="A331" s="211"/>
      <c r="E331" s="212"/>
    </row>
    <row r="332" spans="1:5" s="163" customFormat="1" x14ac:dyDescent="0.25">
      <c r="A332" s="211"/>
      <c r="E332" s="212"/>
    </row>
    <row r="333" spans="1:5" s="163" customFormat="1" x14ac:dyDescent="0.25">
      <c r="A333" s="211"/>
      <c r="E333" s="212"/>
    </row>
    <row r="334" spans="1:5" s="163" customFormat="1" x14ac:dyDescent="0.25">
      <c r="A334" s="211"/>
      <c r="E334" s="212"/>
    </row>
    <row r="335" spans="1:5" s="163" customFormat="1" x14ac:dyDescent="0.25">
      <c r="A335" s="211"/>
      <c r="E335" s="212"/>
    </row>
    <row r="336" spans="1:5" s="163" customFormat="1" x14ac:dyDescent="0.25">
      <c r="A336" s="211"/>
      <c r="E336" s="212"/>
    </row>
    <row r="337" spans="1:5" s="163" customFormat="1" x14ac:dyDescent="0.25">
      <c r="A337" s="211"/>
      <c r="E337" s="212"/>
    </row>
    <row r="338" spans="1:5" s="163" customFormat="1" x14ac:dyDescent="0.25">
      <c r="A338" s="211"/>
      <c r="E338" s="212"/>
    </row>
    <row r="339" spans="1:5" s="163" customFormat="1" x14ac:dyDescent="0.25">
      <c r="A339" s="211"/>
      <c r="E339" s="212"/>
    </row>
    <row r="340" spans="1:5" s="163" customFormat="1" x14ac:dyDescent="0.25">
      <c r="A340" s="211"/>
      <c r="E340" s="212"/>
    </row>
    <row r="341" spans="1:5" s="163" customFormat="1" x14ac:dyDescent="0.25">
      <c r="A341" s="211"/>
      <c r="E341" s="212"/>
    </row>
    <row r="342" spans="1:5" s="163" customFormat="1" x14ac:dyDescent="0.25">
      <c r="A342" s="211"/>
      <c r="E342" s="212"/>
    </row>
    <row r="343" spans="1:5" s="163" customFormat="1" x14ac:dyDescent="0.25">
      <c r="A343" s="211"/>
      <c r="E343" s="212"/>
    </row>
    <row r="344" spans="1:5" s="163" customFormat="1" x14ac:dyDescent="0.25">
      <c r="A344" s="211"/>
      <c r="E344" s="212"/>
    </row>
  </sheetData>
  <mergeCells count="49">
    <mergeCell ref="B16:F16"/>
    <mergeCell ref="G16:I16"/>
    <mergeCell ref="G9:H9"/>
    <mergeCell ref="G10:H10"/>
    <mergeCell ref="G11:H11"/>
    <mergeCell ref="G12:H12"/>
    <mergeCell ref="G13:I13"/>
    <mergeCell ref="B17:F17"/>
    <mergeCell ref="G17:H17"/>
    <mergeCell ref="B18:F18"/>
    <mergeCell ref="G18:H18"/>
    <mergeCell ref="B19:F19"/>
    <mergeCell ref="G19:H19"/>
    <mergeCell ref="B27:F27"/>
    <mergeCell ref="B20:F20"/>
    <mergeCell ref="G20:H20"/>
    <mergeCell ref="B21:F21"/>
    <mergeCell ref="G21:H21"/>
    <mergeCell ref="B22:F22"/>
    <mergeCell ref="B23:F23"/>
    <mergeCell ref="B24:F24"/>
    <mergeCell ref="G24:H24"/>
    <mergeCell ref="B25:F25"/>
    <mergeCell ref="G25:H25"/>
    <mergeCell ref="B26:F26"/>
    <mergeCell ref="A29:I29"/>
    <mergeCell ref="A31:A32"/>
    <mergeCell ref="B31:B32"/>
    <mergeCell ref="C31:C32"/>
    <mergeCell ref="D31:D32"/>
    <mergeCell ref="E31:E32"/>
    <mergeCell ref="F31:I31"/>
    <mergeCell ref="A104:I104"/>
    <mergeCell ref="A34:I34"/>
    <mergeCell ref="A35:I35"/>
    <mergeCell ref="A51:I51"/>
    <mergeCell ref="A77:I77"/>
    <mergeCell ref="A78:I78"/>
    <mergeCell ref="A83:I83"/>
    <mergeCell ref="A84:I84"/>
    <mergeCell ref="A92:I92"/>
    <mergeCell ref="A93:I93"/>
    <mergeCell ref="A97:I97"/>
    <mergeCell ref="A98:I98"/>
    <mergeCell ref="A105:I105"/>
    <mergeCell ref="C135:E135"/>
    <mergeCell ref="G135:I135"/>
    <mergeCell ref="C136:E136"/>
    <mergeCell ref="G136:I136"/>
  </mergeCells>
  <conditionalFormatting sqref="C49:D50 C107:D112 C45:D47 D52:D58 D60:D73 D79:D82 D85:D91 D94:D96 C99:E100 C102:E103 C41:C43 C36:D37 D39:D43">
    <cfRule type="notContainsBlanks" dxfId="1" priority="3">
      <formula>LEN(TRIM(C36))&gt;0</formula>
    </cfRule>
  </conditionalFormatting>
  <conditionalFormatting sqref="C40">
    <cfRule type="notContainsBlanks" dxfId="0" priority="2">
      <formula>LEN(TRIM(C40))&gt;0</formula>
    </cfRule>
  </conditionalFormatting>
  <conditionalFormatting sqref="F94:I96 F45:I47 F49:I50 F79:I82 F106:I133 F85:I88 F90:I91 F36:I37 F52:I58 F39:I43 F60:I76">
    <cfRule type="colorScale" priority="1">
      <colorScale>
        <cfvo type="num" val="0"/>
        <cfvo type="num" val="0"/>
        <color theme="4" tint="0.79998168889431442"/>
        <color theme="0"/>
      </colorScale>
    </cfRule>
  </conditionalFormatting>
  <pageMargins left="0.23622047244094491" right="0.23622047244094491" top="0.35" bottom="0.2" header="0.21" footer="0.1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Доходи НСЗУ</vt:lpstr>
      <vt:lpstr>Інші доходи</vt:lpstr>
      <vt:lpstr>Всього доходи</vt:lpstr>
      <vt:lpstr>МедПрод</vt:lpstr>
      <vt:lpstr>Видатки</vt:lpstr>
      <vt:lpstr>ФінПлан</vt:lpstr>
      <vt:lpstr>ФінПлан!Заголовки_для_друку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Катя</dc:creator>
  <cp:lastModifiedBy>Катя</cp:lastModifiedBy>
  <cp:lastPrinted>2025-03-19T08:12:51Z</cp:lastPrinted>
  <dcterms:created xsi:type="dcterms:W3CDTF">2015-06-05T18:19:34Z</dcterms:created>
  <dcterms:modified xsi:type="dcterms:W3CDTF">2025-03-19T14:55:14Z</dcterms:modified>
</cp:coreProperties>
</file>